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2\"/>
    </mc:Choice>
  </mc:AlternateContent>
  <bookViews>
    <workbookView xWindow="0" yWindow="0" windowWidth="21570" windowHeight="9450" activeTab="1"/>
  </bookViews>
  <sheets>
    <sheet name="Source" sheetId="3" r:id="rId1"/>
    <sheet name="Data" sheetId="2" r:id="rId2"/>
    <sheet name="_STDS_DG1D848FEC" sheetId="4" state="hidden" r:id="rId3"/>
    <sheet name="Histogram" sheetId="5" r:id="rId4"/>
    <sheet name="One Var Summary" sheetId="7" r:id="rId5"/>
  </sheets>
  <definedNames>
    <definedName name="PalisadeReportWorksheetCreatedBy" localSheetId="3" hidden="1">"StatTools"</definedName>
    <definedName name="PalisadeReportWorksheetCreatedBy" localSheetId="4" hidden="1">"StatTools"</definedName>
    <definedName name="ST_Combined">Data!$F$2:$F$52</definedName>
    <definedName name="ST_CriticalReading">Data!$C$2:$C$52</definedName>
    <definedName name="ST_Math">Data!$D$2:$D$52</definedName>
    <definedName name="ST_PercentTaking">Data!$B$2:$B$52</definedName>
    <definedName name="ST_State">Data!$A$2:$A$52</definedName>
    <definedName name="ST_Writing">Data!$E$2:$E$52</definedName>
    <definedName name="StatToolsHeader" localSheetId="3">Histogram!$1:$5</definedName>
    <definedName name="StatToolsHeader" localSheetId="4">'One Var Summary'!$1:$5</definedName>
    <definedName name="STWBD_StatToolsHistogram_BinMaximum" hidden="1">" 1.01E+300"</definedName>
    <definedName name="STWBD_StatToolsHistogram_BinMinimum" hidden="1">" 1.01E+300"</definedName>
    <definedName name="STWBD_StatToolsHistogram_DefaultDataFormat" hidden="1">" 0"</definedName>
    <definedName name="STWBD_StatToolsHistogram_HasDefaultInfo" hidden="1">"TRUE"</definedName>
    <definedName name="STWBD_StatToolsHistogram_NumBins" hidden="1">" 5"</definedName>
    <definedName name="STWBD_StatToolsHistogram_VariableList" hidden="1">5</definedName>
    <definedName name="STWBD_StatToolsHistogram_VariableList_1" hidden="1">"U_x0001_VG5BA3283169EB854_x0001_"</definedName>
    <definedName name="STWBD_StatToolsHistogram_VariableList_2" hidden="1">"U_x0001_VG6BF1D6F5D527D9_x0001_"</definedName>
    <definedName name="STWBD_StatToolsHistogram_VariableList_3" hidden="1">"U_x0001_VG2E24CD471164A55D_x0001_"</definedName>
    <definedName name="STWBD_StatToolsHistogram_VariableList_4" hidden="1">"U_x0001_VG2EE38CD95BC4688_x0001_"</definedName>
    <definedName name="STWBD_StatToolsHistogram_VariableList_5" hidden="1">"U_x0001_VG39F998F415C947A1_x0001_"</definedName>
    <definedName name="STWBD_StatToolsHistogram_VarSelectorDefaultDataSet" hidden="1">"DG1D848FEC"</definedName>
    <definedName name="STWBD_StatToolsHistogram_XAxisStyle" hidden="1">" 0"</definedName>
    <definedName name="STWBD_StatToolsHistogram_YAxisStyle" hidden="1">" 0"</definedName>
    <definedName name="STWBD_StatToolsOneVarSummary_Count" hidden="1">"TRUE"</definedName>
    <definedName name="STWBD_StatToolsOneVarSummary_DefaultDataFormat" hidden="1">" 0"</definedName>
    <definedName name="STWBD_StatToolsOneVarSummary_FirstQuartile" hidden="1">"TRUE"</definedName>
    <definedName name="STWBD_StatToolsOneVarSummary_HasDefaultInfo" hidden="1">"TRUE"</definedName>
    <definedName name="STWBD_StatToolsOneVarSummary_InterQuartileRange" hidden="1">"FALSE"</definedName>
    <definedName name="STWBD_StatToolsOneVarSummary_Kurtosis" hidden="1">"FALSE"</definedName>
    <definedName name="STWBD_StatToolsOneVarSummary_Maximum" hidden="1">"TRUE"</definedName>
    <definedName name="STWBD_StatToolsOneVarSummary_Mean" hidden="1">"TRUE"</definedName>
    <definedName name="STWBD_StatToolsOneVarSummary_MeanAbsDeviation" hidden="1">"FALSE"</definedName>
    <definedName name="STWBD_StatToolsOneVarSummary_Median" hidden="1">"TRUE"</definedName>
    <definedName name="STWBD_StatToolsOneVarSummary_Minimum" hidden="1">"TRUE"</definedName>
    <definedName name="STWBD_StatToolsOneVarSummary_Mode" hidden="1">"TRUE"</definedName>
    <definedName name="STWBD_StatToolsOneVarSummary_OtherPercentiles" hidden="1">"FALSE"</definedName>
    <definedName name="STWBD_StatToolsOneVarSummary_Range" hidden="1">"FALSE"</definedName>
    <definedName name="STWBD_StatToolsOneVarSummary_Skewness" hidden="1">"FALSE"</definedName>
    <definedName name="STWBD_StatToolsOneVarSummary_StandardDeviation" hidden="1">"TRUE"</definedName>
    <definedName name="STWBD_StatToolsOneVarSummary_Sum" hidden="1">"FALSE"</definedName>
    <definedName name="STWBD_StatToolsOneVarSummary_ThirdQuartile" hidden="1">"TRUE"</definedName>
    <definedName name="STWBD_StatToolsOneVarSummary_VariableList" hidden="1">5</definedName>
    <definedName name="STWBD_StatToolsOneVarSummary_VariableList_1" hidden="1">"U_x0001_VG5BA3283169EB854_x0001_"</definedName>
    <definedName name="STWBD_StatToolsOneVarSummary_VariableList_2" hidden="1">"U_x0001_VG6BF1D6F5D527D9_x0001_"</definedName>
    <definedName name="STWBD_StatToolsOneVarSummary_VariableList_3" hidden="1">"U_x0001_VG2E24CD471164A55D_x0001_"</definedName>
    <definedName name="STWBD_StatToolsOneVarSummary_VariableList_4" hidden="1">"U_x0001_VG2EE38CD95BC4688_x0001_"</definedName>
    <definedName name="STWBD_StatToolsOneVarSummary_VariableList_5" hidden="1">"U_x0001_VG39F998F415C947A1_x0001_"</definedName>
    <definedName name="STWBD_StatToolsOneVarSummary_Variance" hidden="1">"FALSE"</definedName>
    <definedName name="STWBD_StatToolsOneVarSummary_VarSelectorDefaultDataSet" hidden="1">"DG1D848FEC"</definedName>
  </definedNames>
  <calcPr calcId="152511"/>
</workbook>
</file>

<file path=xl/calcChain.xml><?xml version="1.0" encoding="utf-8"?>
<calcChain xmlns="http://schemas.openxmlformats.org/spreadsheetml/2006/main">
  <c r="B9" i="4" l="1"/>
  <c r="N129" i="5"/>
  <c r="N128" i="5"/>
  <c r="N127" i="5"/>
  <c r="N126" i="5"/>
  <c r="N125" i="5"/>
  <c r="N100" i="5"/>
  <c r="N99" i="5"/>
  <c r="N98" i="5"/>
  <c r="N97" i="5"/>
  <c r="N96" i="5"/>
  <c r="N71" i="5"/>
  <c r="N70" i="5"/>
  <c r="N69" i="5"/>
  <c r="N68" i="5"/>
  <c r="N67" i="5"/>
  <c r="N42" i="5"/>
  <c r="N41" i="5"/>
  <c r="N40" i="5"/>
  <c r="N39" i="5"/>
  <c r="N38" i="5"/>
  <c r="N13" i="5"/>
  <c r="N12" i="5"/>
  <c r="N11" i="5"/>
  <c r="N10" i="5"/>
  <c r="N9" i="5"/>
  <c r="D139" i="5"/>
  <c r="D138" i="5"/>
  <c r="D137" i="5"/>
  <c r="D136" i="5"/>
  <c r="D135" i="5"/>
  <c r="D134" i="5"/>
  <c r="D133" i="5"/>
  <c r="D108" i="5"/>
  <c r="D107" i="5"/>
  <c r="D106" i="5"/>
  <c r="D105" i="5"/>
  <c r="D104" i="5"/>
  <c r="D103" i="5"/>
  <c r="D102" i="5"/>
  <c r="D77" i="5"/>
  <c r="D76" i="5"/>
  <c r="D75" i="5"/>
  <c r="D74" i="5"/>
  <c r="D73" i="5"/>
  <c r="D72" i="5"/>
  <c r="D71" i="5"/>
  <c r="D46" i="5"/>
  <c r="D45" i="5"/>
  <c r="D44" i="5"/>
  <c r="D43" i="5"/>
  <c r="D42" i="5"/>
  <c r="D41" i="5"/>
  <c r="D40" i="5"/>
  <c r="D15" i="5"/>
  <c r="D14" i="5"/>
  <c r="D13" i="5"/>
  <c r="D12" i="5"/>
  <c r="D11" i="5"/>
  <c r="D10" i="5"/>
  <c r="D9" i="5"/>
  <c r="B28" i="4"/>
  <c r="B25" i="4"/>
  <c r="B22" i="4"/>
  <c r="B19" i="4"/>
  <c r="B16" i="4"/>
  <c r="B13" i="4"/>
  <c r="B7" i="4"/>
  <c r="B3" i="4"/>
  <c r="F11" i="7"/>
  <c r="E41" i="5"/>
  <c r="O42" i="5"/>
  <c r="F9" i="7"/>
  <c r="E40" i="5"/>
  <c r="E134" i="5"/>
  <c r="D12" i="7"/>
  <c r="E103" i="5"/>
  <c r="E136" i="5"/>
  <c r="B17" i="7"/>
  <c r="O100" i="5"/>
  <c r="E13" i="7"/>
  <c r="E107" i="5"/>
  <c r="O96" i="5"/>
  <c r="B9" i="7"/>
  <c r="E137" i="5"/>
  <c r="O125" i="5"/>
  <c r="O13" i="5"/>
  <c r="O126" i="5"/>
  <c r="B11" i="7"/>
  <c r="C17" i="7"/>
  <c r="O41" i="5"/>
  <c r="B16" i="7"/>
  <c r="O127" i="5"/>
  <c r="E135" i="5"/>
  <c r="D13" i="7"/>
  <c r="E139" i="5"/>
  <c r="E133" i="5"/>
  <c r="D11" i="7"/>
  <c r="E138" i="5"/>
  <c r="F15" i="7"/>
  <c r="B14" i="7"/>
  <c r="E71" i="5"/>
  <c r="O67" i="5"/>
  <c r="E106" i="5"/>
  <c r="O68" i="5"/>
  <c r="C15" i="7"/>
  <c r="E11" i="5"/>
  <c r="O9" i="5"/>
  <c r="E75" i="5"/>
  <c r="E15" i="7"/>
  <c r="D15" i="7"/>
  <c r="O40" i="5"/>
  <c r="E9" i="5"/>
  <c r="F13" i="7"/>
  <c r="D17" i="7"/>
  <c r="O11" i="5"/>
  <c r="C9" i="7"/>
  <c r="E72" i="5"/>
  <c r="E102" i="5"/>
  <c r="B15" i="7"/>
  <c r="E17" i="7"/>
  <c r="C11" i="7"/>
  <c r="B13" i="7"/>
  <c r="B12" i="7"/>
  <c r="O98" i="5"/>
  <c r="E16" i="7"/>
  <c r="E15" i="5"/>
  <c r="E44" i="5"/>
  <c r="E10" i="5"/>
  <c r="O12" i="5"/>
  <c r="F17" i="7"/>
  <c r="F16" i="7"/>
  <c r="C16" i="7"/>
  <c r="O71" i="5"/>
  <c r="D9" i="7"/>
  <c r="E11" i="7"/>
  <c r="E10" i="7"/>
  <c r="O39" i="5"/>
  <c r="D10" i="7"/>
  <c r="E77" i="5"/>
  <c r="C13" i="7"/>
  <c r="E76" i="5"/>
  <c r="F10" i="7"/>
  <c r="C14" i="7"/>
  <c r="C10" i="7"/>
  <c r="F14" i="7"/>
  <c r="O129" i="5"/>
  <c r="E46" i="5"/>
  <c r="F12" i="7"/>
  <c r="O128" i="5"/>
  <c r="E14" i="5"/>
  <c r="O97" i="5"/>
  <c r="O70" i="5"/>
  <c r="E14" i="7"/>
  <c r="O10" i="5"/>
  <c r="B10" i="7"/>
  <c r="E45" i="5"/>
  <c r="E12" i="5"/>
  <c r="E74" i="5"/>
  <c r="D16" i="7"/>
  <c r="E105" i="5"/>
  <c r="O99" i="5"/>
  <c r="D14" i="7"/>
  <c r="E104" i="5"/>
  <c r="C12" i="7"/>
  <c r="E42" i="5"/>
  <c r="O38" i="5"/>
  <c r="O69" i="5"/>
  <c r="E43" i="5"/>
  <c r="E12" i="7"/>
  <c r="E13" i="5"/>
  <c r="E73" i="5"/>
  <c r="E108" i="5"/>
  <c r="E9" i="7"/>
  <c r="H11" i="7" l="1"/>
  <c r="H9" i="7"/>
  <c r="F74" i="5"/>
  <c r="P67" i="5"/>
  <c r="F43" i="5"/>
  <c r="P69" i="5"/>
  <c r="F107" i="5"/>
  <c r="P42" i="5"/>
  <c r="P68" i="5"/>
  <c r="F133" i="5"/>
  <c r="P97" i="5"/>
  <c r="F135" i="5"/>
  <c r="F73" i="5"/>
  <c r="F104" i="5"/>
  <c r="F15" i="5"/>
  <c r="F41" i="5"/>
  <c r="F134" i="5"/>
  <c r="F46" i="5"/>
  <c r="P11" i="5"/>
  <c r="F11" i="5"/>
  <c r="P128" i="5"/>
  <c r="P71" i="5"/>
  <c r="P10" i="5"/>
  <c r="F40" i="5"/>
  <c r="P12" i="5"/>
  <c r="P9" i="5"/>
  <c r="F137" i="5"/>
  <c r="F139" i="5"/>
  <c r="P41" i="5"/>
  <c r="P98" i="5"/>
  <c r="P100" i="5"/>
  <c r="F71" i="5"/>
  <c r="P129" i="5"/>
  <c r="F45" i="5"/>
  <c r="F42" i="5"/>
  <c r="F136" i="5"/>
  <c r="F76" i="5"/>
  <c r="F102" i="5"/>
  <c r="P13" i="5"/>
  <c r="P38" i="5"/>
  <c r="P99" i="5"/>
  <c r="P96" i="5"/>
  <c r="P40" i="5"/>
  <c r="F103" i="5"/>
  <c r="F106" i="5"/>
  <c r="F105" i="5"/>
  <c r="P39" i="5"/>
  <c r="F44" i="5"/>
  <c r="P70" i="5"/>
  <c r="F13" i="5"/>
  <c r="F9" i="5"/>
  <c r="F12" i="5"/>
  <c r="P127" i="5"/>
  <c r="F14" i="5"/>
  <c r="F75" i="5"/>
  <c r="F108" i="5"/>
  <c r="F138" i="5"/>
  <c r="F77" i="5"/>
  <c r="F72" i="5"/>
  <c r="F10" i="5"/>
  <c r="P126" i="5"/>
  <c r="P125" i="5"/>
  <c r="Q100" i="5" l="1"/>
  <c r="Q98" i="5"/>
  <c r="Q96" i="5"/>
  <c r="Q70" i="5"/>
  <c r="Q68" i="5"/>
  <c r="Q42" i="5"/>
  <c r="Q40" i="5"/>
  <c r="Q38" i="5"/>
  <c r="Q12" i="5"/>
  <c r="Q10" i="5"/>
  <c r="Q129" i="5"/>
  <c r="Q127" i="5"/>
  <c r="Q125" i="5"/>
  <c r="Q99" i="5"/>
  <c r="Q97" i="5"/>
  <c r="Q71" i="5"/>
  <c r="Q69" i="5"/>
  <c r="Q67" i="5"/>
  <c r="Q41" i="5"/>
  <c r="Q39" i="5"/>
  <c r="Q13" i="5"/>
  <c r="Q11" i="5"/>
  <c r="Q9" i="5"/>
  <c r="Q128" i="5"/>
  <c r="Q126" i="5"/>
  <c r="G108" i="5"/>
  <c r="G106" i="5"/>
  <c r="G104" i="5"/>
  <c r="G102" i="5"/>
  <c r="G76" i="5"/>
  <c r="G74" i="5"/>
  <c r="G72" i="5"/>
  <c r="G46" i="5"/>
  <c r="G44" i="5"/>
  <c r="G42" i="5"/>
  <c r="G40" i="5"/>
  <c r="G14" i="5"/>
  <c r="G12" i="5"/>
  <c r="G10" i="5"/>
  <c r="G138" i="5"/>
  <c r="G136" i="5"/>
  <c r="G134" i="5"/>
  <c r="G9" i="5"/>
  <c r="G107" i="5"/>
  <c r="G105" i="5"/>
  <c r="G103" i="5"/>
  <c r="G77" i="5"/>
  <c r="G75" i="5"/>
  <c r="G73" i="5"/>
  <c r="G71" i="5"/>
  <c r="G45" i="5"/>
  <c r="G43" i="5"/>
  <c r="G41" i="5"/>
  <c r="G15" i="5"/>
  <c r="G13" i="5"/>
  <c r="G11" i="5"/>
  <c r="G139" i="5"/>
  <c r="G137" i="5"/>
  <c r="G135" i="5"/>
  <c r="G133" i="5"/>
</calcChain>
</file>

<file path=xl/comments1.xml><?xml version="1.0" encoding="utf-8"?>
<comments xmlns="http://schemas.openxmlformats.org/spreadsheetml/2006/main">
  <authors>
    <author xml:space="preserve"> Chris Albright</author>
  </authors>
  <commentList>
    <comment ref="A8"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K8"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K37"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A39"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K66"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A70"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K95"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A101"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K124"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A132"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List>
</comments>
</file>

<file path=xl/sharedStrings.xml><?xml version="1.0" encoding="utf-8"?>
<sst xmlns="http://schemas.openxmlformats.org/spreadsheetml/2006/main" count="296" uniqueCount="154">
  <si>
    <t>State</t>
  </si>
  <si>
    <t>Math</t>
  </si>
  <si>
    <t>Alabama</t>
  </si>
  <si>
    <t>Alaska</t>
  </si>
  <si>
    <t>Arizona</t>
  </si>
  <si>
    <t>Arkansas</t>
  </si>
  <si>
    <t>California</t>
  </si>
  <si>
    <t>Colorado</t>
  </si>
  <si>
    <t>Connecticut</t>
  </si>
  <si>
    <t>Delaware</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</si>
  <si>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</si>
  <si>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</si>
  <si>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</si>
  <si>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</si>
  <si>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</si>
  <si>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</si>
  <si>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</si>
  <si>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</si>
  <si>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</si>
  <si>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</si>
  <si>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</si>
  <si>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</si>
  <si>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</si>
  <si>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</si>
  <si>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</si>
  <si>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</si>
  <si>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</si>
  <si>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</si>
  <si>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</si>
  <si>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</si>
  <si>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</si>
  <si>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</si>
  <si>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</si>
  <si>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</si>
  <si>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</si>
  <si>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</si>
  <si>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</si>
  <si>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</si>
  <si>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</si>
  <si>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</si>
  <si>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</si>
  <si>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</si>
  <si>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</si>
  <si>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</si>
  <si>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</si>
  <si>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</si>
  <si>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</si>
  <si>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</si>
  <si>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</si>
  <si>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</si>
  <si>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</si>
  <si>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</si>
  <si>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District of Columbia</t>
  </si>
  <si>
    <t>Critical Reading</t>
  </si>
  <si>
    <t>Writing</t>
  </si>
  <si>
    <t>Combined</t>
  </si>
  <si>
    <t>Percent Taking</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</si>
  <si>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</si>
  <si>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</si>
  <si>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</si>
  <si>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</si>
  <si>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</si>
  <si>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</si>
  <si>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</si>
  <si>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</si>
  <si>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</si>
  <si>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</si>
  <si>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</si>
  <si>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</si>
  <si>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DG1D848FEC</t>
  </si>
  <si>
    <t>Format Range</t>
  </si>
  <si>
    <t>Variable Layout</t>
  </si>
  <si>
    <t>Columns</t>
  </si>
  <si>
    <t>Variable Names In Cells</t>
  </si>
  <si>
    <t>Variable Names In 2nd Cells</t>
  </si>
  <si>
    <t>Data Set Ranges</t>
  </si>
  <si>
    <t>Data Sheet Format</t>
  </si>
  <si>
    <t>Formula Eval Cell</t>
  </si>
  <si>
    <t>Num Stored Vars</t>
  </si>
  <si>
    <t>1 : Info</t>
  </si>
  <si>
    <t>VG2542E2912BC93431</t>
  </si>
  <si>
    <t>var1</t>
  </si>
  <si>
    <t>ST_State</t>
  </si>
  <si>
    <t>1 : Ranges</t>
  </si>
  <si>
    <t>1 : MultiRefs</t>
  </si>
  <si>
    <t>2 : Info</t>
  </si>
  <si>
    <t>VG5BA3283169EB854</t>
  </si>
  <si>
    <t>var2</t>
  </si>
  <si>
    <t>ST_PercentTaking</t>
  </si>
  <si>
    <t>2 : Ranges</t>
  </si>
  <si>
    <t>2 : MultiRefs</t>
  </si>
  <si>
    <t>3 : Info</t>
  </si>
  <si>
    <t>VG6BF1D6F5D527D9</t>
  </si>
  <si>
    <t>var3</t>
  </si>
  <si>
    <t>ST_CriticalReading</t>
  </si>
  <si>
    <t>3 : Ranges</t>
  </si>
  <si>
    <t>3 : MultiRefs</t>
  </si>
  <si>
    <t>4 : Info</t>
  </si>
  <si>
    <t>VG2E24CD471164A55D</t>
  </si>
  <si>
    <t>var4</t>
  </si>
  <si>
    <t>ST_Math</t>
  </si>
  <si>
    <t>4 : Ranges</t>
  </si>
  <si>
    <t>4 : MultiRefs</t>
  </si>
  <si>
    <t>5 : Info</t>
  </si>
  <si>
    <t>VG2EE38CD95BC4688</t>
  </si>
  <si>
    <t>var5</t>
  </si>
  <si>
    <t>ST_Writing</t>
  </si>
  <si>
    <t>5 : Ranges</t>
  </si>
  <si>
    <t>5 : MultiRefs</t>
  </si>
  <si>
    <t>6 : Info</t>
  </si>
  <si>
    <t>VG39F998F415C947A1</t>
  </si>
  <si>
    <t>var6</t>
  </si>
  <si>
    <t>ST_Combined</t>
  </si>
  <si>
    <t>6 : Ranges</t>
  </si>
  <si>
    <t>6 : MultiRefs</t>
  </si>
  <si>
    <t>StatTools</t>
  </si>
  <si>
    <t>(Core Analysis Pack)</t>
  </si>
  <si>
    <t>Analysis:</t>
  </si>
  <si>
    <t>Histogram</t>
  </si>
  <si>
    <t>Performed By:</t>
  </si>
  <si>
    <t xml:space="preserve"> Chris Albright</t>
  </si>
  <si>
    <t>Date:</t>
  </si>
  <si>
    <t>Updating:</t>
  </si>
  <si>
    <t>Live</t>
  </si>
  <si>
    <t>Bin Min</t>
  </si>
  <si>
    <t>Bin Max</t>
  </si>
  <si>
    <t>Bin Midpoint</t>
  </si>
  <si>
    <t>Freq.</t>
  </si>
  <si>
    <t>Rel. Freq.</t>
  </si>
  <si>
    <t>Prb. Density</t>
  </si>
  <si>
    <t>Percent Taking / Data Set #1</t>
  </si>
  <si>
    <t>Bin #1</t>
  </si>
  <si>
    <t>Bin #2</t>
  </si>
  <si>
    <t>Bin #3</t>
  </si>
  <si>
    <t>Bin #4</t>
  </si>
  <si>
    <t>Bin #5</t>
  </si>
  <si>
    <t>Bin #6</t>
  </si>
  <si>
    <t>Bin #7</t>
  </si>
  <si>
    <t>Critical Reading / Data Set #1</t>
  </si>
  <si>
    <t>Math / Data Set #1</t>
  </si>
  <si>
    <t>Writing / Data Set #1</t>
  </si>
  <si>
    <t>Combined / Data Set #1</t>
  </si>
  <si>
    <t>One Variable Summary</t>
  </si>
  <si>
    <t>Mean</t>
  </si>
  <si>
    <t>Std. Dev.</t>
  </si>
  <si>
    <t>Median</t>
  </si>
  <si>
    <t>Mode</t>
  </si>
  <si>
    <t>Minimum</t>
  </si>
  <si>
    <t>Maximum</t>
  </si>
  <si>
    <t>Count</t>
  </si>
  <si>
    <t>1st Quartile</t>
  </si>
  <si>
    <t>3rd Quartile</t>
  </si>
  <si>
    <t>Sums</t>
  </si>
  <si>
    <t>Friday, February 10,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</si>
</sst>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1" x14ac:knownFonts="1">
    <font>
      <sz val="11"/>
      <color theme="1"/>
      <name val="Calibri"/>
      <family val="2"/>
      <scheme val="minor"/>
    </font>
    <font>
      <sz val="10"/>
      <name val="Arial"/>
      <family val="2"/>
    </font>
    <font>
      <b/>
      <sz val="11"/>
      <name val="Calibri"/>
      <family val="2"/>
    </font>
    <font>
      <sz val="11"/>
      <name val="Calibri"/>
      <family val="2"/>
    </font>
    <font>
      <b/>
      <sz val="11"/>
      <color theme="1"/>
      <name val="Calibri"/>
      <family val="2"/>
      <scheme val="minor"/>
    </font>
    <font>
      <sz val="8"/>
      <color theme="1"/>
      <name val="Calibri"/>
      <family val="2"/>
      <scheme val="minor"/>
    </font>
    <font>
      <b/>
      <sz val="8"/>
      <color theme="1"/>
      <name val="Calibri"/>
      <family val="2"/>
      <scheme val="minor"/>
    </font>
    <font>
      <b/>
      <sz val="14"/>
      <color theme="1"/>
      <name val="Calibri"/>
      <family val="2"/>
      <scheme val="minor"/>
    </font>
    <font>
      <b/>
      <i/>
      <sz val="8"/>
      <color theme="1"/>
      <name val="Calibri"/>
      <family val="2"/>
      <scheme val="minor"/>
    </font>
    <font>
      <sz val="8"/>
      <color indexed="81"/>
      <name val="Tahoma"/>
      <family val="2"/>
    </font>
    <font>
      <b/>
      <u/>
      <sz val="8"/>
      <color indexed="81"/>
      <name val="Tahoma"/>
      <family val="2"/>
    </font>
  </fonts>
  <fills count="4">
    <fill>
      <patternFill patternType="none"/>
    </fill>
    <fill>
      <patternFill patternType="gray125"/>
    </fill>
    <fill>
      <patternFill patternType="solid">
        <fgColor rgb="FFC0C0C0"/>
        <bgColor indexed="64"/>
      </patternFill>
    </fill>
    <fill>
      <patternFill patternType="solid">
        <fgColor theme="9" tint="0.59999389629810485"/>
        <bgColor indexed="64"/>
      </patternFill>
    </fill>
  </fills>
  <borders count="3">
    <border>
      <left/>
      <right/>
      <top/>
      <bottom/>
      <diagonal/>
    </border>
    <border>
      <left/>
      <right/>
      <top/>
      <bottom style="thin">
        <color rgb="FF000000"/>
      </bottom>
      <diagonal/>
    </border>
    <border>
      <left/>
      <right/>
      <top/>
      <bottom style="double">
        <color rgb="FF000000"/>
      </bottom>
      <diagonal/>
    </border>
  </borders>
  <cellStyleXfs count="2">
    <xf numFmtId="0" fontId="0" fillId="0" borderId="0"/>
    <xf numFmtId="0" fontId="1" fillId="0" borderId="0"/>
  </cellStyleXfs>
  <cellXfs count="31">
    <xf numFmtId="0" fontId="0" fillId="0" borderId="0" xfId="0"/>
    <xf numFmtId="0" fontId="3" fillId="0" borderId="0" xfId="1" applyFont="1"/>
    <xf numFmtId="0" fontId="0" fillId="0" borderId="0" xfId="0" applyAlignment="1">
      <alignment wrapText="1"/>
    </xf>
    <xf numFmtId="9" fontId="0" fillId="0" borderId="0" xfId="0" applyNumberFormat="1" applyAlignment="1">
      <alignment wrapText="1"/>
    </xf>
    <xf numFmtId="0" fontId="2" fillId="0" borderId="0" xfId="1" applyFont="1"/>
    <xf numFmtId="0" fontId="2" fillId="0" borderId="0" xfId="1" applyFont="1" applyAlignment="1">
      <alignment horizontal="right"/>
    </xf>
    <xf numFmtId="0" fontId="0" fillId="0" borderId="0" xfId="0" applyAlignment="1">
      <alignment horizontal="left"/>
    </xf>
    <xf numFmtId="0" fontId="4" fillId="0" borderId="0" xfId="0" applyFont="1" applyAlignment="1">
      <alignment horizontal="left"/>
    </xf>
    <xf numFmtId="0" fontId="5" fillId="2" borderId="0" xfId="0" applyFont="1" applyFill="1"/>
    <xf numFmtId="0" fontId="5" fillId="2" borderId="1" xfId="0" applyFont="1" applyFill="1" applyBorder="1"/>
    <xf numFmtId="0" fontId="7" fillId="2" borderId="0" xfId="0" applyFont="1" applyFill="1" applyAlignment="1">
      <alignment horizontal="right"/>
    </xf>
    <xf numFmtId="0" fontId="6" fillId="2" borderId="0" xfId="0" applyFont="1" applyFill="1" applyAlignment="1">
      <alignment horizontal="right"/>
    </xf>
    <xf numFmtId="0" fontId="6" fillId="2" borderId="1" xfId="0" applyFont="1" applyFill="1" applyBorder="1" applyAlignment="1">
      <alignment horizontal="right"/>
    </xf>
    <xf numFmtId="0" fontId="5" fillId="2" borderId="0" xfId="0" applyFont="1" applyFill="1" applyAlignment="1">
      <alignment horizontal="left"/>
    </xf>
    <xf numFmtId="0" fontId="5" fillId="2" borderId="1" xfId="0" applyFont="1" applyFill="1" applyBorder="1" applyAlignment="1">
      <alignment horizontal="left"/>
    </xf>
    <xf numFmtId="0" fontId="0" fillId="0" borderId="0" xfId="0" applyAlignment="1">
      <alignment horizontal="center"/>
    </xf>
    <xf numFmtId="49" fontId="6" fillId="0" borderId="2" xfId="0" applyNumberFormat="1" applyFont="1" applyFill="1" applyBorder="1" applyAlignment="1">
      <alignment horizontal="center"/>
    </xf>
    <xf numFmtId="49" fontId="6" fillId="0" borderId="0" xfId="0" applyNumberFormat="1" applyFont="1" applyAlignment="1">
      <alignment horizontal="left"/>
    </xf>
    <xf numFmtId="49" fontId="8" fillId="0" borderId="0" xfId="0" applyNumberFormat="1" applyFont="1" applyAlignment="1">
      <alignment horizontal="left"/>
    </xf>
    <xf numFmtId="49" fontId="8" fillId="0" borderId="2" xfId="0" applyNumberFormat="1" applyFont="1" applyFill="1" applyBorder="1" applyAlignment="1">
      <alignment horizontal="left"/>
    </xf>
    <xf numFmtId="164" fontId="0" fillId="0" borderId="0" xfId="0" applyNumberFormat="1" applyAlignment="1">
      <alignment horizontal="center"/>
    </xf>
    <xf numFmtId="2" fontId="0" fillId="0" borderId="0" xfId="0" applyNumberFormat="1" applyAlignment="1">
      <alignment horizontal="center"/>
    </xf>
    <xf numFmtId="49" fontId="6" fillId="0" borderId="2" xfId="0" applyNumberFormat="1" applyFont="1" applyFill="1" applyBorder="1" applyAlignment="1">
      <alignment horizontal="left"/>
    </xf>
    <xf numFmtId="164" fontId="0" fillId="0" borderId="0" xfId="0" applyNumberFormat="1" applyAlignment="1">
      <alignment horizontal="left"/>
    </xf>
    <xf numFmtId="0" fontId="0" fillId="0" borderId="0" xfId="0" applyNumberFormat="1" applyAlignment="1">
      <alignment horizontal="left"/>
    </xf>
    <xf numFmtId="2" fontId="0" fillId="0" borderId="0" xfId="0" applyNumberFormat="1" applyAlignment="1">
      <alignment horizontal="left"/>
    </xf>
    <xf numFmtId="164" fontId="0" fillId="3" borderId="0" xfId="0" applyNumberFormat="1" applyFill="1" applyAlignment="1">
      <alignment horizontal="left"/>
    </xf>
    <xf numFmtId="2" fontId="0" fillId="3" borderId="0" xfId="0" applyNumberFormat="1" applyFill="1" applyAlignment="1">
      <alignment horizontal="left"/>
    </xf>
    <xf numFmtId="49" fontId="6" fillId="0" borderId="0" xfId="0" applyNumberFormat="1" applyFont="1" applyFill="1" applyBorder="1" applyAlignment="1">
      <alignment horizontal="left"/>
    </xf>
    <xf numFmtId="2" fontId="0" fillId="0" borderId="0" xfId="0" applyNumberFormat="1"/>
    <xf numFmtId="49" fontId="6" fillId="0" borderId="0" xfId="0" applyNumberFormat="1" applyFont="1" applyAlignment="1">
      <alignment horizontal="center"/>
    </xf>
  </cellXfs>
  <cellStyles count="2">
    <cellStyle name="Normal" xfId="0" builtinId="0" customBuiltin="1"/>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Percent Taking / Data Set #1</a:t>
            </a:r>
          </a:p>
        </c:rich>
      </c:tx>
      <c:layout/>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Histogram!$D$9:$D$15</c:f>
              <c:numCache>
                <c:formatCode>0.0000</c:formatCode>
                <c:ptCount val="7"/>
                <c:pt idx="0">
                  <c:v>9.2142854999999996E-2</c:v>
                </c:pt>
                <c:pt idx="1">
                  <c:v>0.21642856999999999</c:v>
                </c:pt>
                <c:pt idx="2">
                  <c:v>0.34071428500000001</c:v>
                </c:pt>
                <c:pt idx="3">
                  <c:v>0.46499999999999997</c:v>
                </c:pt>
                <c:pt idx="4">
                  <c:v>0.58928571499999993</c:v>
                </c:pt>
                <c:pt idx="5">
                  <c:v>0.71357143000000001</c:v>
                </c:pt>
                <c:pt idx="6">
                  <c:v>0.83785714500000008</c:v>
                </c:pt>
              </c:numCache>
            </c:numRef>
          </c:cat>
          <c:val>
            <c:numRef>
              <c:f>Histogram!$E$9:$E$15</c:f>
              <c:numCache>
                <c:formatCode>General</c:formatCode>
                <c:ptCount val="7"/>
                <c:pt idx="0">
                  <c:v>20</c:v>
                </c:pt>
                <c:pt idx="1">
                  <c:v>6</c:v>
                </c:pt>
                <c:pt idx="2">
                  <c:v>0</c:v>
                </c:pt>
                <c:pt idx="3">
                  <c:v>5</c:v>
                </c:pt>
                <c:pt idx="4">
                  <c:v>6</c:v>
                </c:pt>
                <c:pt idx="5">
                  <c:v>9</c:v>
                </c:pt>
                <c:pt idx="6">
                  <c:v>5</c:v>
                </c:pt>
              </c:numCache>
            </c:numRef>
          </c:val>
        </c:ser>
        <c:dLbls>
          <c:showLegendKey val="0"/>
          <c:showVal val="0"/>
          <c:showCatName val="0"/>
          <c:showSerName val="0"/>
          <c:showPercent val="0"/>
          <c:showBubbleSize val="0"/>
        </c:dLbls>
        <c:gapWidth val="0"/>
        <c:axId val="836269960"/>
        <c:axId val="836270744"/>
      </c:barChart>
      <c:catAx>
        <c:axId val="836269960"/>
        <c:scaling>
          <c:orientation val="minMax"/>
        </c:scaling>
        <c:delete val="0"/>
        <c:axPos val="b"/>
        <c:numFmt formatCode="0.0000" sourceLinked="1"/>
        <c:majorTickMark val="none"/>
        <c:minorTickMark val="none"/>
        <c:tickLblPos val="low"/>
        <c:txPr>
          <a:bodyPr rot="-5400000" vert="horz"/>
          <a:lstStyle/>
          <a:p>
            <a:pPr>
              <a:defRPr sz="800"/>
            </a:pPr>
            <a:endParaRPr lang="en-US"/>
          </a:p>
        </c:txPr>
        <c:crossAx val="836270744"/>
        <c:crosses val="autoZero"/>
        <c:auto val="1"/>
        <c:lblAlgn val="ctr"/>
        <c:lblOffset val="100"/>
        <c:noMultiLvlLbl val="0"/>
      </c:catAx>
      <c:valAx>
        <c:axId val="836270744"/>
        <c:scaling>
          <c:orientation val="minMax"/>
          <c:min val="0"/>
        </c:scaling>
        <c:delete val="0"/>
        <c:axPos val="l"/>
        <c:title>
          <c:tx>
            <c:rich>
              <a:bodyPr/>
              <a:lstStyle/>
              <a:p>
                <a:pPr>
                  <a:defRPr sz="800" b="0"/>
                </a:pPr>
                <a:r>
                  <a:rPr lang="en-US"/>
                  <a:t>Frequency</a:t>
                </a:r>
              </a:p>
            </c:rich>
          </c:tx>
          <c:layout/>
          <c:overlay val="0"/>
        </c:title>
        <c:numFmt formatCode="General" sourceLinked="0"/>
        <c:majorTickMark val="out"/>
        <c:minorTickMark val="none"/>
        <c:tickLblPos val="nextTo"/>
        <c:txPr>
          <a:bodyPr/>
          <a:lstStyle/>
          <a:p>
            <a:pPr>
              <a:defRPr sz="800" b="0"/>
            </a:pPr>
            <a:endParaRPr lang="en-US"/>
          </a:p>
        </c:txPr>
        <c:crossAx val="83626996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Combined / Data Set #1</a:t>
            </a:r>
          </a:p>
        </c:rich>
      </c:tx>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Histogram!$N$125:$N$129</c:f>
              <c:numCache>
                <c:formatCode>0.00</c:formatCode>
                <c:ptCount val="5"/>
                <c:pt idx="0">
                  <c:v>1421.5</c:v>
                </c:pt>
                <c:pt idx="1">
                  <c:v>1508.5</c:v>
                </c:pt>
                <c:pt idx="2">
                  <c:v>1595.5</c:v>
                </c:pt>
                <c:pt idx="3">
                  <c:v>1682.5</c:v>
                </c:pt>
                <c:pt idx="4">
                  <c:v>1769.5</c:v>
                </c:pt>
              </c:numCache>
            </c:numRef>
          </c:cat>
          <c:val>
            <c:numRef>
              <c:f>Histogram!$O$125:$O$129</c:f>
              <c:numCache>
                <c:formatCode>General</c:formatCode>
                <c:ptCount val="5"/>
                <c:pt idx="0">
                  <c:v>6</c:v>
                </c:pt>
                <c:pt idx="1">
                  <c:v>19</c:v>
                </c:pt>
                <c:pt idx="2">
                  <c:v>6</c:v>
                </c:pt>
                <c:pt idx="3">
                  <c:v>10</c:v>
                </c:pt>
                <c:pt idx="4">
                  <c:v>10</c:v>
                </c:pt>
              </c:numCache>
            </c:numRef>
          </c:val>
        </c:ser>
        <c:dLbls>
          <c:showLegendKey val="0"/>
          <c:showVal val="0"/>
          <c:showCatName val="0"/>
          <c:showSerName val="0"/>
          <c:showPercent val="0"/>
          <c:showBubbleSize val="0"/>
        </c:dLbls>
        <c:gapWidth val="0"/>
        <c:axId val="825294368"/>
        <c:axId val="825294760"/>
      </c:barChart>
      <c:catAx>
        <c:axId val="825294368"/>
        <c:scaling>
          <c:orientation val="minMax"/>
        </c:scaling>
        <c:delete val="0"/>
        <c:axPos val="b"/>
        <c:numFmt formatCode="0.00" sourceLinked="1"/>
        <c:majorTickMark val="none"/>
        <c:minorTickMark val="none"/>
        <c:tickLblPos val="low"/>
        <c:txPr>
          <a:bodyPr rot="-5400000" vert="horz"/>
          <a:lstStyle/>
          <a:p>
            <a:pPr>
              <a:defRPr sz="800"/>
            </a:pPr>
            <a:endParaRPr lang="en-US"/>
          </a:p>
        </c:txPr>
        <c:crossAx val="825294760"/>
        <c:crosses val="autoZero"/>
        <c:auto val="1"/>
        <c:lblAlgn val="ctr"/>
        <c:lblOffset val="100"/>
        <c:noMultiLvlLbl val="0"/>
      </c:catAx>
      <c:valAx>
        <c:axId val="825294760"/>
        <c:scaling>
          <c:orientation val="minMax"/>
          <c:min val="0"/>
        </c:scaling>
        <c:delete val="0"/>
        <c:axPos val="l"/>
        <c:title>
          <c:tx>
            <c:rich>
              <a:bodyPr/>
              <a:lstStyle/>
              <a:p>
                <a:pPr>
                  <a:defRPr sz="800" b="0"/>
                </a:pPr>
                <a:r>
                  <a:rPr lang="en-US"/>
                  <a:t>Frequency</a:t>
                </a:r>
              </a:p>
            </c:rich>
          </c:tx>
          <c:overlay val="0"/>
        </c:title>
        <c:numFmt formatCode="General" sourceLinked="0"/>
        <c:majorTickMark val="out"/>
        <c:minorTickMark val="none"/>
        <c:tickLblPos val="nextTo"/>
        <c:txPr>
          <a:bodyPr/>
          <a:lstStyle/>
          <a:p>
            <a:pPr>
              <a:defRPr sz="800" b="0"/>
            </a:pPr>
            <a:endParaRPr lang="en-US"/>
          </a:p>
        </c:txPr>
        <c:crossAx val="82529436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Critical Reading / Data Set #1</a:t>
            </a:r>
          </a:p>
        </c:rich>
      </c:tx>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Histogram!$D$40:$D$46</c:f>
              <c:numCache>
                <c:formatCode>0.00</c:formatCode>
                <c:ptCount val="7"/>
                <c:pt idx="0">
                  <c:v>476.28571428500004</c:v>
                </c:pt>
                <c:pt idx="1">
                  <c:v>496.85714285500001</c:v>
                </c:pt>
                <c:pt idx="2">
                  <c:v>517.42857142499997</c:v>
                </c:pt>
                <c:pt idx="3">
                  <c:v>538</c:v>
                </c:pt>
                <c:pt idx="4">
                  <c:v>558.57142857500003</c:v>
                </c:pt>
                <c:pt idx="5">
                  <c:v>579.14285714499999</c:v>
                </c:pt>
                <c:pt idx="6">
                  <c:v>599.71428571499996</c:v>
                </c:pt>
              </c:numCache>
            </c:numRef>
          </c:cat>
          <c:val>
            <c:numRef>
              <c:f>Histogram!$E$40:$E$46</c:f>
              <c:numCache>
                <c:formatCode>General</c:formatCode>
                <c:ptCount val="7"/>
                <c:pt idx="0">
                  <c:v>6</c:v>
                </c:pt>
                <c:pt idx="1">
                  <c:v>11</c:v>
                </c:pt>
                <c:pt idx="2">
                  <c:v>10</c:v>
                </c:pt>
                <c:pt idx="3">
                  <c:v>3</c:v>
                </c:pt>
                <c:pt idx="4">
                  <c:v>7</c:v>
                </c:pt>
                <c:pt idx="5">
                  <c:v>9</c:v>
                </c:pt>
                <c:pt idx="6">
                  <c:v>5</c:v>
                </c:pt>
              </c:numCache>
            </c:numRef>
          </c:val>
        </c:ser>
        <c:dLbls>
          <c:showLegendKey val="0"/>
          <c:showVal val="0"/>
          <c:showCatName val="0"/>
          <c:showSerName val="0"/>
          <c:showPercent val="0"/>
          <c:showBubbleSize val="0"/>
        </c:dLbls>
        <c:gapWidth val="0"/>
        <c:axId val="836270352"/>
        <c:axId val="833046008"/>
      </c:barChart>
      <c:catAx>
        <c:axId val="836270352"/>
        <c:scaling>
          <c:orientation val="minMax"/>
        </c:scaling>
        <c:delete val="0"/>
        <c:axPos val="b"/>
        <c:numFmt formatCode="0.00" sourceLinked="1"/>
        <c:majorTickMark val="none"/>
        <c:minorTickMark val="none"/>
        <c:tickLblPos val="low"/>
        <c:txPr>
          <a:bodyPr rot="-5400000" vert="horz"/>
          <a:lstStyle/>
          <a:p>
            <a:pPr>
              <a:defRPr sz="800"/>
            </a:pPr>
            <a:endParaRPr lang="en-US"/>
          </a:p>
        </c:txPr>
        <c:crossAx val="833046008"/>
        <c:crosses val="autoZero"/>
        <c:auto val="1"/>
        <c:lblAlgn val="ctr"/>
        <c:lblOffset val="100"/>
        <c:noMultiLvlLbl val="0"/>
      </c:catAx>
      <c:valAx>
        <c:axId val="833046008"/>
        <c:scaling>
          <c:orientation val="minMax"/>
          <c:min val="0"/>
        </c:scaling>
        <c:delete val="0"/>
        <c:axPos val="l"/>
        <c:title>
          <c:tx>
            <c:rich>
              <a:bodyPr/>
              <a:lstStyle/>
              <a:p>
                <a:pPr>
                  <a:defRPr sz="800" b="0"/>
                </a:pPr>
                <a:r>
                  <a:rPr lang="en-US"/>
                  <a:t>Frequency</a:t>
                </a:r>
              </a:p>
            </c:rich>
          </c:tx>
          <c:overlay val="0"/>
        </c:title>
        <c:numFmt formatCode="General" sourceLinked="0"/>
        <c:majorTickMark val="out"/>
        <c:minorTickMark val="none"/>
        <c:tickLblPos val="nextTo"/>
        <c:txPr>
          <a:bodyPr/>
          <a:lstStyle/>
          <a:p>
            <a:pPr>
              <a:defRPr sz="800" b="0"/>
            </a:pPr>
            <a:endParaRPr lang="en-US"/>
          </a:p>
        </c:txPr>
        <c:crossAx val="83627035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Math / Data Set #1</a:t>
            </a:r>
          </a:p>
        </c:rich>
      </c:tx>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Histogram!$D$71:$D$77</c:f>
              <c:numCache>
                <c:formatCode>0.00</c:formatCode>
                <c:ptCount val="7"/>
                <c:pt idx="0">
                  <c:v>462.71428571499996</c:v>
                </c:pt>
                <c:pt idx="1">
                  <c:v>486.14285714499999</c:v>
                </c:pt>
                <c:pt idx="2">
                  <c:v>509.57142857500003</c:v>
                </c:pt>
                <c:pt idx="3">
                  <c:v>533</c:v>
                </c:pt>
                <c:pt idx="4">
                  <c:v>556.42857142499997</c:v>
                </c:pt>
                <c:pt idx="5">
                  <c:v>579.85714285500001</c:v>
                </c:pt>
                <c:pt idx="6">
                  <c:v>603.28571428500004</c:v>
                </c:pt>
              </c:numCache>
            </c:numRef>
          </c:cat>
          <c:val>
            <c:numRef>
              <c:f>Histogram!$E$71:$E$77</c:f>
              <c:numCache>
                <c:formatCode>General</c:formatCode>
                <c:ptCount val="7"/>
                <c:pt idx="0">
                  <c:v>2</c:v>
                </c:pt>
                <c:pt idx="1">
                  <c:v>3</c:v>
                </c:pt>
                <c:pt idx="2">
                  <c:v>18</c:v>
                </c:pt>
                <c:pt idx="3">
                  <c:v>6</c:v>
                </c:pt>
                <c:pt idx="4">
                  <c:v>8</c:v>
                </c:pt>
                <c:pt idx="5">
                  <c:v>5</c:v>
                </c:pt>
                <c:pt idx="6">
                  <c:v>9</c:v>
                </c:pt>
              </c:numCache>
            </c:numRef>
          </c:val>
        </c:ser>
        <c:dLbls>
          <c:showLegendKey val="0"/>
          <c:showVal val="0"/>
          <c:showCatName val="0"/>
          <c:showSerName val="0"/>
          <c:showPercent val="0"/>
          <c:showBubbleSize val="0"/>
        </c:dLbls>
        <c:gapWidth val="0"/>
        <c:axId val="833044832"/>
        <c:axId val="833045224"/>
      </c:barChart>
      <c:catAx>
        <c:axId val="833044832"/>
        <c:scaling>
          <c:orientation val="minMax"/>
        </c:scaling>
        <c:delete val="0"/>
        <c:axPos val="b"/>
        <c:numFmt formatCode="0.00" sourceLinked="1"/>
        <c:majorTickMark val="none"/>
        <c:minorTickMark val="none"/>
        <c:tickLblPos val="low"/>
        <c:txPr>
          <a:bodyPr rot="-5400000" vert="horz"/>
          <a:lstStyle/>
          <a:p>
            <a:pPr>
              <a:defRPr sz="800"/>
            </a:pPr>
            <a:endParaRPr lang="en-US"/>
          </a:p>
        </c:txPr>
        <c:crossAx val="833045224"/>
        <c:crosses val="autoZero"/>
        <c:auto val="1"/>
        <c:lblAlgn val="ctr"/>
        <c:lblOffset val="100"/>
        <c:noMultiLvlLbl val="0"/>
      </c:catAx>
      <c:valAx>
        <c:axId val="833045224"/>
        <c:scaling>
          <c:orientation val="minMax"/>
          <c:min val="0"/>
        </c:scaling>
        <c:delete val="0"/>
        <c:axPos val="l"/>
        <c:title>
          <c:tx>
            <c:rich>
              <a:bodyPr/>
              <a:lstStyle/>
              <a:p>
                <a:pPr>
                  <a:defRPr sz="800" b="0"/>
                </a:pPr>
                <a:r>
                  <a:rPr lang="en-US"/>
                  <a:t>Frequency</a:t>
                </a:r>
              </a:p>
            </c:rich>
          </c:tx>
          <c:overlay val="0"/>
        </c:title>
        <c:numFmt formatCode="General" sourceLinked="0"/>
        <c:majorTickMark val="out"/>
        <c:minorTickMark val="none"/>
        <c:tickLblPos val="nextTo"/>
        <c:txPr>
          <a:bodyPr/>
          <a:lstStyle/>
          <a:p>
            <a:pPr>
              <a:defRPr sz="800" b="0"/>
            </a:pPr>
            <a:endParaRPr lang="en-US"/>
          </a:p>
        </c:txPr>
        <c:crossAx val="83304483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Writing / Data Set #1</a:t>
            </a:r>
          </a:p>
        </c:rich>
      </c:tx>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Histogram!$D$102:$D$108</c:f>
              <c:numCache>
                <c:formatCode>0.00</c:formatCode>
                <c:ptCount val="7"/>
                <c:pt idx="0">
                  <c:v>464.5</c:v>
                </c:pt>
                <c:pt idx="1">
                  <c:v>483.5</c:v>
                </c:pt>
                <c:pt idx="2">
                  <c:v>502.5</c:v>
                </c:pt>
                <c:pt idx="3">
                  <c:v>521.5</c:v>
                </c:pt>
                <c:pt idx="4">
                  <c:v>540.5</c:v>
                </c:pt>
                <c:pt idx="5">
                  <c:v>559.5</c:v>
                </c:pt>
                <c:pt idx="6">
                  <c:v>578.5</c:v>
                </c:pt>
              </c:numCache>
            </c:numRef>
          </c:cat>
          <c:val>
            <c:numRef>
              <c:f>Histogram!$E$102:$E$108</c:f>
              <c:numCache>
                <c:formatCode>General</c:formatCode>
                <c:ptCount val="7"/>
                <c:pt idx="0">
                  <c:v>4</c:v>
                </c:pt>
                <c:pt idx="1">
                  <c:v>10</c:v>
                </c:pt>
                <c:pt idx="2">
                  <c:v>13</c:v>
                </c:pt>
                <c:pt idx="3">
                  <c:v>3</c:v>
                </c:pt>
                <c:pt idx="4">
                  <c:v>4</c:v>
                </c:pt>
                <c:pt idx="5">
                  <c:v>10</c:v>
                </c:pt>
                <c:pt idx="6">
                  <c:v>7</c:v>
                </c:pt>
              </c:numCache>
            </c:numRef>
          </c:val>
        </c:ser>
        <c:dLbls>
          <c:showLegendKey val="0"/>
          <c:showVal val="0"/>
          <c:showCatName val="0"/>
          <c:showSerName val="0"/>
          <c:showPercent val="0"/>
          <c:showBubbleSize val="0"/>
        </c:dLbls>
        <c:gapWidth val="0"/>
        <c:axId val="833044440"/>
        <c:axId val="947492896"/>
      </c:barChart>
      <c:catAx>
        <c:axId val="833044440"/>
        <c:scaling>
          <c:orientation val="minMax"/>
        </c:scaling>
        <c:delete val="0"/>
        <c:axPos val="b"/>
        <c:numFmt formatCode="0.00" sourceLinked="1"/>
        <c:majorTickMark val="none"/>
        <c:minorTickMark val="none"/>
        <c:tickLblPos val="low"/>
        <c:txPr>
          <a:bodyPr rot="-5400000" vert="horz"/>
          <a:lstStyle/>
          <a:p>
            <a:pPr>
              <a:defRPr sz="800"/>
            </a:pPr>
            <a:endParaRPr lang="en-US"/>
          </a:p>
        </c:txPr>
        <c:crossAx val="947492896"/>
        <c:crosses val="autoZero"/>
        <c:auto val="1"/>
        <c:lblAlgn val="ctr"/>
        <c:lblOffset val="100"/>
        <c:noMultiLvlLbl val="0"/>
      </c:catAx>
      <c:valAx>
        <c:axId val="947492896"/>
        <c:scaling>
          <c:orientation val="minMax"/>
          <c:min val="0"/>
        </c:scaling>
        <c:delete val="0"/>
        <c:axPos val="l"/>
        <c:title>
          <c:tx>
            <c:rich>
              <a:bodyPr/>
              <a:lstStyle/>
              <a:p>
                <a:pPr>
                  <a:defRPr sz="800" b="0"/>
                </a:pPr>
                <a:r>
                  <a:rPr lang="en-US"/>
                  <a:t>Frequency</a:t>
                </a:r>
              </a:p>
            </c:rich>
          </c:tx>
          <c:overlay val="0"/>
        </c:title>
        <c:numFmt formatCode="General" sourceLinked="0"/>
        <c:majorTickMark val="out"/>
        <c:minorTickMark val="none"/>
        <c:tickLblPos val="nextTo"/>
        <c:txPr>
          <a:bodyPr/>
          <a:lstStyle/>
          <a:p>
            <a:pPr>
              <a:defRPr sz="800" b="0"/>
            </a:pPr>
            <a:endParaRPr lang="en-US"/>
          </a:p>
        </c:txPr>
        <c:crossAx val="83304444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Combined / Data Set #1</a:t>
            </a:r>
          </a:p>
        </c:rich>
      </c:tx>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Histogram!$D$133:$D$139</c:f>
              <c:numCache>
                <c:formatCode>0.00</c:formatCode>
                <c:ptCount val="7"/>
                <c:pt idx="0">
                  <c:v>1409.0714285700001</c:v>
                </c:pt>
                <c:pt idx="1">
                  <c:v>1471.214285715</c:v>
                </c:pt>
                <c:pt idx="2">
                  <c:v>1533.3571428599998</c:v>
                </c:pt>
                <c:pt idx="3">
                  <c:v>1595.5</c:v>
                </c:pt>
                <c:pt idx="4">
                  <c:v>1657.6428571400002</c:v>
                </c:pt>
                <c:pt idx="5">
                  <c:v>1719.785714285</c:v>
                </c:pt>
                <c:pt idx="6">
                  <c:v>1781.9285714299999</c:v>
                </c:pt>
              </c:numCache>
            </c:numRef>
          </c:cat>
          <c:val>
            <c:numRef>
              <c:f>Histogram!$E$133:$E$139</c:f>
              <c:numCache>
                <c:formatCode>General</c:formatCode>
                <c:ptCount val="7"/>
                <c:pt idx="0">
                  <c:v>2</c:v>
                </c:pt>
                <c:pt idx="1">
                  <c:v>13</c:v>
                </c:pt>
                <c:pt idx="2">
                  <c:v>12</c:v>
                </c:pt>
                <c:pt idx="3">
                  <c:v>3</c:v>
                </c:pt>
                <c:pt idx="4">
                  <c:v>6</c:v>
                </c:pt>
                <c:pt idx="5">
                  <c:v>7</c:v>
                </c:pt>
                <c:pt idx="6">
                  <c:v>8</c:v>
                </c:pt>
              </c:numCache>
            </c:numRef>
          </c:val>
        </c:ser>
        <c:dLbls>
          <c:showLegendKey val="0"/>
          <c:showVal val="0"/>
          <c:showCatName val="0"/>
          <c:showSerName val="0"/>
          <c:showPercent val="0"/>
          <c:showBubbleSize val="0"/>
        </c:dLbls>
        <c:gapWidth val="0"/>
        <c:axId val="947493288"/>
        <c:axId val="823031616"/>
      </c:barChart>
      <c:catAx>
        <c:axId val="947493288"/>
        <c:scaling>
          <c:orientation val="minMax"/>
        </c:scaling>
        <c:delete val="0"/>
        <c:axPos val="b"/>
        <c:numFmt formatCode="0.00" sourceLinked="1"/>
        <c:majorTickMark val="none"/>
        <c:minorTickMark val="none"/>
        <c:tickLblPos val="low"/>
        <c:txPr>
          <a:bodyPr rot="-5400000" vert="horz"/>
          <a:lstStyle/>
          <a:p>
            <a:pPr>
              <a:defRPr sz="800"/>
            </a:pPr>
            <a:endParaRPr lang="en-US"/>
          </a:p>
        </c:txPr>
        <c:crossAx val="823031616"/>
        <c:crosses val="autoZero"/>
        <c:auto val="1"/>
        <c:lblAlgn val="ctr"/>
        <c:lblOffset val="100"/>
        <c:noMultiLvlLbl val="0"/>
      </c:catAx>
      <c:valAx>
        <c:axId val="823031616"/>
        <c:scaling>
          <c:orientation val="minMax"/>
          <c:min val="0"/>
        </c:scaling>
        <c:delete val="0"/>
        <c:axPos val="l"/>
        <c:title>
          <c:tx>
            <c:rich>
              <a:bodyPr/>
              <a:lstStyle/>
              <a:p>
                <a:pPr>
                  <a:defRPr sz="800" b="0"/>
                </a:pPr>
                <a:r>
                  <a:rPr lang="en-US"/>
                  <a:t>Frequency</a:t>
                </a:r>
              </a:p>
            </c:rich>
          </c:tx>
          <c:overlay val="0"/>
        </c:title>
        <c:numFmt formatCode="General" sourceLinked="0"/>
        <c:majorTickMark val="out"/>
        <c:minorTickMark val="none"/>
        <c:tickLblPos val="nextTo"/>
        <c:txPr>
          <a:bodyPr/>
          <a:lstStyle/>
          <a:p>
            <a:pPr>
              <a:defRPr sz="800" b="0"/>
            </a:pPr>
            <a:endParaRPr lang="en-US"/>
          </a:p>
        </c:txPr>
        <c:crossAx val="94749328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Percent Taking / Data Set #1</a:t>
            </a:r>
          </a:p>
        </c:rich>
      </c:tx>
      <c:layout/>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Histogram!$N$9:$N$13</c:f>
              <c:numCache>
                <c:formatCode>0.0000</c:formatCode>
                <c:ptCount val="5"/>
                <c:pt idx="0">
                  <c:v>0.11699999999999999</c:v>
                </c:pt>
                <c:pt idx="1">
                  <c:v>0.29099999999999998</c:v>
                </c:pt>
                <c:pt idx="2">
                  <c:v>0.46500000000000002</c:v>
                </c:pt>
                <c:pt idx="3">
                  <c:v>0.63900000000000001</c:v>
                </c:pt>
                <c:pt idx="4">
                  <c:v>0.81299999999999994</c:v>
                </c:pt>
              </c:numCache>
            </c:numRef>
          </c:cat>
          <c:val>
            <c:numRef>
              <c:f>Histogram!$O$9:$O$13</c:f>
              <c:numCache>
                <c:formatCode>General</c:formatCode>
                <c:ptCount val="5"/>
                <c:pt idx="0">
                  <c:v>23</c:v>
                </c:pt>
                <c:pt idx="1">
                  <c:v>3</c:v>
                </c:pt>
                <c:pt idx="2">
                  <c:v>6</c:v>
                </c:pt>
                <c:pt idx="3">
                  <c:v>12</c:v>
                </c:pt>
                <c:pt idx="4">
                  <c:v>7</c:v>
                </c:pt>
              </c:numCache>
            </c:numRef>
          </c:val>
        </c:ser>
        <c:dLbls>
          <c:showLegendKey val="0"/>
          <c:showVal val="0"/>
          <c:showCatName val="0"/>
          <c:showSerName val="0"/>
          <c:showPercent val="0"/>
          <c:showBubbleSize val="0"/>
        </c:dLbls>
        <c:gapWidth val="0"/>
        <c:axId val="823032008"/>
        <c:axId val="830650728"/>
      </c:barChart>
      <c:catAx>
        <c:axId val="823032008"/>
        <c:scaling>
          <c:orientation val="minMax"/>
        </c:scaling>
        <c:delete val="0"/>
        <c:axPos val="b"/>
        <c:numFmt formatCode="0.0000" sourceLinked="1"/>
        <c:majorTickMark val="none"/>
        <c:minorTickMark val="none"/>
        <c:tickLblPos val="low"/>
        <c:txPr>
          <a:bodyPr rot="-5400000" vert="horz"/>
          <a:lstStyle/>
          <a:p>
            <a:pPr>
              <a:defRPr sz="800"/>
            </a:pPr>
            <a:endParaRPr lang="en-US"/>
          </a:p>
        </c:txPr>
        <c:crossAx val="830650728"/>
        <c:crosses val="autoZero"/>
        <c:auto val="1"/>
        <c:lblAlgn val="ctr"/>
        <c:lblOffset val="100"/>
        <c:noMultiLvlLbl val="0"/>
      </c:catAx>
      <c:valAx>
        <c:axId val="830650728"/>
        <c:scaling>
          <c:orientation val="minMax"/>
          <c:min val="0"/>
        </c:scaling>
        <c:delete val="0"/>
        <c:axPos val="l"/>
        <c:title>
          <c:tx>
            <c:rich>
              <a:bodyPr/>
              <a:lstStyle/>
              <a:p>
                <a:pPr>
                  <a:defRPr sz="800" b="0"/>
                </a:pPr>
                <a:r>
                  <a:rPr lang="en-US"/>
                  <a:t>Frequency</a:t>
                </a:r>
              </a:p>
            </c:rich>
          </c:tx>
          <c:layout/>
          <c:overlay val="0"/>
        </c:title>
        <c:numFmt formatCode="General" sourceLinked="0"/>
        <c:majorTickMark val="out"/>
        <c:minorTickMark val="none"/>
        <c:tickLblPos val="nextTo"/>
        <c:txPr>
          <a:bodyPr/>
          <a:lstStyle/>
          <a:p>
            <a:pPr>
              <a:defRPr sz="800" b="0"/>
            </a:pPr>
            <a:endParaRPr lang="en-US"/>
          </a:p>
        </c:txPr>
        <c:crossAx val="82303200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Critical Reading / Data Set #1</a:t>
            </a:r>
          </a:p>
        </c:rich>
      </c:tx>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Histogram!$N$38:$N$42</c:f>
              <c:numCache>
                <c:formatCode>0.00</c:formatCode>
                <c:ptCount val="5"/>
                <c:pt idx="0">
                  <c:v>480.4</c:v>
                </c:pt>
                <c:pt idx="1">
                  <c:v>509.20000000000005</c:v>
                </c:pt>
                <c:pt idx="2">
                  <c:v>538</c:v>
                </c:pt>
                <c:pt idx="3">
                  <c:v>566.79999999999995</c:v>
                </c:pt>
                <c:pt idx="4">
                  <c:v>595.6</c:v>
                </c:pt>
              </c:numCache>
            </c:numRef>
          </c:cat>
          <c:val>
            <c:numRef>
              <c:f>Histogram!$O$38:$O$42</c:f>
              <c:numCache>
                <c:formatCode>General</c:formatCode>
                <c:ptCount val="5"/>
                <c:pt idx="0">
                  <c:v>8</c:v>
                </c:pt>
                <c:pt idx="1">
                  <c:v>18</c:v>
                </c:pt>
                <c:pt idx="2">
                  <c:v>4</c:v>
                </c:pt>
                <c:pt idx="3">
                  <c:v>12</c:v>
                </c:pt>
                <c:pt idx="4">
                  <c:v>9</c:v>
                </c:pt>
              </c:numCache>
            </c:numRef>
          </c:val>
        </c:ser>
        <c:dLbls>
          <c:showLegendKey val="0"/>
          <c:showVal val="0"/>
          <c:showCatName val="0"/>
          <c:showSerName val="0"/>
          <c:showPercent val="0"/>
          <c:showBubbleSize val="0"/>
        </c:dLbls>
        <c:gapWidth val="0"/>
        <c:axId val="955760712"/>
        <c:axId val="955761104"/>
      </c:barChart>
      <c:catAx>
        <c:axId val="955760712"/>
        <c:scaling>
          <c:orientation val="minMax"/>
        </c:scaling>
        <c:delete val="0"/>
        <c:axPos val="b"/>
        <c:numFmt formatCode="0.00" sourceLinked="1"/>
        <c:majorTickMark val="none"/>
        <c:minorTickMark val="none"/>
        <c:tickLblPos val="low"/>
        <c:txPr>
          <a:bodyPr rot="-5400000" vert="horz"/>
          <a:lstStyle/>
          <a:p>
            <a:pPr>
              <a:defRPr sz="800"/>
            </a:pPr>
            <a:endParaRPr lang="en-US"/>
          </a:p>
        </c:txPr>
        <c:crossAx val="955761104"/>
        <c:crosses val="autoZero"/>
        <c:auto val="1"/>
        <c:lblAlgn val="ctr"/>
        <c:lblOffset val="100"/>
        <c:noMultiLvlLbl val="0"/>
      </c:catAx>
      <c:valAx>
        <c:axId val="955761104"/>
        <c:scaling>
          <c:orientation val="minMax"/>
          <c:min val="0"/>
        </c:scaling>
        <c:delete val="0"/>
        <c:axPos val="l"/>
        <c:title>
          <c:tx>
            <c:rich>
              <a:bodyPr/>
              <a:lstStyle/>
              <a:p>
                <a:pPr>
                  <a:defRPr sz="800" b="0"/>
                </a:pPr>
                <a:r>
                  <a:rPr lang="en-US"/>
                  <a:t>Frequency</a:t>
                </a:r>
              </a:p>
            </c:rich>
          </c:tx>
          <c:overlay val="0"/>
        </c:title>
        <c:numFmt formatCode="General" sourceLinked="0"/>
        <c:majorTickMark val="out"/>
        <c:minorTickMark val="none"/>
        <c:tickLblPos val="nextTo"/>
        <c:txPr>
          <a:bodyPr/>
          <a:lstStyle/>
          <a:p>
            <a:pPr>
              <a:defRPr sz="800" b="0"/>
            </a:pPr>
            <a:endParaRPr lang="en-US"/>
          </a:p>
        </c:txPr>
        <c:crossAx val="95576071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Math / Data Set #1</a:t>
            </a:r>
          </a:p>
        </c:rich>
      </c:tx>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Histogram!$N$67:$N$71</c:f>
              <c:numCache>
                <c:formatCode>0.00</c:formatCode>
                <c:ptCount val="5"/>
                <c:pt idx="0">
                  <c:v>467.4</c:v>
                </c:pt>
                <c:pt idx="1">
                  <c:v>500.20000000000005</c:v>
                </c:pt>
                <c:pt idx="2">
                  <c:v>533</c:v>
                </c:pt>
                <c:pt idx="3">
                  <c:v>565.79999999999995</c:v>
                </c:pt>
                <c:pt idx="4">
                  <c:v>598.6</c:v>
                </c:pt>
              </c:numCache>
            </c:numRef>
          </c:cat>
          <c:val>
            <c:numRef>
              <c:f>Histogram!$O$67:$O$71</c:f>
              <c:numCache>
                <c:formatCode>General</c:formatCode>
                <c:ptCount val="5"/>
                <c:pt idx="0">
                  <c:v>2</c:v>
                </c:pt>
                <c:pt idx="1">
                  <c:v>19</c:v>
                </c:pt>
                <c:pt idx="2">
                  <c:v>10</c:v>
                </c:pt>
                <c:pt idx="3">
                  <c:v>10</c:v>
                </c:pt>
                <c:pt idx="4">
                  <c:v>10</c:v>
                </c:pt>
              </c:numCache>
            </c:numRef>
          </c:val>
        </c:ser>
        <c:dLbls>
          <c:showLegendKey val="0"/>
          <c:showVal val="0"/>
          <c:showCatName val="0"/>
          <c:showSerName val="0"/>
          <c:showPercent val="0"/>
          <c:showBubbleSize val="0"/>
        </c:dLbls>
        <c:gapWidth val="0"/>
        <c:axId val="947494072"/>
        <c:axId val="955761496"/>
      </c:barChart>
      <c:catAx>
        <c:axId val="947494072"/>
        <c:scaling>
          <c:orientation val="minMax"/>
        </c:scaling>
        <c:delete val="0"/>
        <c:axPos val="b"/>
        <c:numFmt formatCode="0.00" sourceLinked="1"/>
        <c:majorTickMark val="none"/>
        <c:minorTickMark val="none"/>
        <c:tickLblPos val="low"/>
        <c:txPr>
          <a:bodyPr rot="-5400000" vert="horz"/>
          <a:lstStyle/>
          <a:p>
            <a:pPr>
              <a:defRPr sz="800"/>
            </a:pPr>
            <a:endParaRPr lang="en-US"/>
          </a:p>
        </c:txPr>
        <c:crossAx val="955761496"/>
        <c:crosses val="autoZero"/>
        <c:auto val="1"/>
        <c:lblAlgn val="ctr"/>
        <c:lblOffset val="100"/>
        <c:noMultiLvlLbl val="0"/>
      </c:catAx>
      <c:valAx>
        <c:axId val="955761496"/>
        <c:scaling>
          <c:orientation val="minMax"/>
          <c:min val="0"/>
        </c:scaling>
        <c:delete val="0"/>
        <c:axPos val="l"/>
        <c:title>
          <c:tx>
            <c:rich>
              <a:bodyPr/>
              <a:lstStyle/>
              <a:p>
                <a:pPr>
                  <a:defRPr sz="800" b="0"/>
                </a:pPr>
                <a:r>
                  <a:rPr lang="en-US"/>
                  <a:t>Frequency</a:t>
                </a:r>
              </a:p>
            </c:rich>
          </c:tx>
          <c:overlay val="0"/>
        </c:title>
        <c:numFmt formatCode="General" sourceLinked="0"/>
        <c:majorTickMark val="out"/>
        <c:minorTickMark val="none"/>
        <c:tickLblPos val="nextTo"/>
        <c:txPr>
          <a:bodyPr/>
          <a:lstStyle/>
          <a:p>
            <a:pPr>
              <a:defRPr sz="800" b="0"/>
            </a:pPr>
            <a:endParaRPr lang="en-US"/>
          </a:p>
        </c:txPr>
        <c:crossAx val="94749407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Writing / Data Set #1</a:t>
            </a:r>
          </a:p>
        </c:rich>
      </c:tx>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Histogram!$N$96:$N$100</c:f>
              <c:numCache>
                <c:formatCode>0.00</c:formatCode>
                <c:ptCount val="5"/>
                <c:pt idx="0">
                  <c:v>468.3</c:v>
                </c:pt>
                <c:pt idx="1">
                  <c:v>494.9</c:v>
                </c:pt>
                <c:pt idx="2">
                  <c:v>521.5</c:v>
                </c:pt>
                <c:pt idx="3">
                  <c:v>548.09999999999991</c:v>
                </c:pt>
                <c:pt idx="4">
                  <c:v>574.70000000000005</c:v>
                </c:pt>
              </c:numCache>
            </c:numRef>
          </c:cat>
          <c:val>
            <c:numRef>
              <c:f>Histogram!$O$96:$O$100</c:f>
              <c:numCache>
                <c:formatCode>General</c:formatCode>
                <c:ptCount val="5"/>
                <c:pt idx="0">
                  <c:v>11</c:v>
                </c:pt>
                <c:pt idx="1">
                  <c:v>13</c:v>
                </c:pt>
                <c:pt idx="2">
                  <c:v>7</c:v>
                </c:pt>
                <c:pt idx="3">
                  <c:v>9</c:v>
                </c:pt>
                <c:pt idx="4">
                  <c:v>11</c:v>
                </c:pt>
              </c:numCache>
            </c:numRef>
          </c:val>
        </c:ser>
        <c:dLbls>
          <c:showLegendKey val="0"/>
          <c:showVal val="0"/>
          <c:showCatName val="0"/>
          <c:showSerName val="0"/>
          <c:showPercent val="0"/>
          <c:showBubbleSize val="0"/>
        </c:dLbls>
        <c:gapWidth val="0"/>
        <c:axId val="955761888"/>
        <c:axId val="955762280"/>
      </c:barChart>
      <c:catAx>
        <c:axId val="955761888"/>
        <c:scaling>
          <c:orientation val="minMax"/>
        </c:scaling>
        <c:delete val="0"/>
        <c:axPos val="b"/>
        <c:numFmt formatCode="0.00" sourceLinked="1"/>
        <c:majorTickMark val="none"/>
        <c:minorTickMark val="none"/>
        <c:tickLblPos val="low"/>
        <c:txPr>
          <a:bodyPr rot="-5400000" vert="horz"/>
          <a:lstStyle/>
          <a:p>
            <a:pPr>
              <a:defRPr sz="800"/>
            </a:pPr>
            <a:endParaRPr lang="en-US"/>
          </a:p>
        </c:txPr>
        <c:crossAx val="955762280"/>
        <c:crosses val="autoZero"/>
        <c:auto val="1"/>
        <c:lblAlgn val="ctr"/>
        <c:lblOffset val="100"/>
        <c:noMultiLvlLbl val="0"/>
      </c:catAx>
      <c:valAx>
        <c:axId val="955762280"/>
        <c:scaling>
          <c:orientation val="minMax"/>
          <c:min val="0"/>
        </c:scaling>
        <c:delete val="0"/>
        <c:axPos val="l"/>
        <c:title>
          <c:tx>
            <c:rich>
              <a:bodyPr/>
              <a:lstStyle/>
              <a:p>
                <a:pPr>
                  <a:defRPr sz="800" b="0"/>
                </a:pPr>
                <a:r>
                  <a:rPr lang="en-US"/>
                  <a:t>Frequency</a:t>
                </a:r>
              </a:p>
            </c:rich>
          </c:tx>
          <c:overlay val="0"/>
        </c:title>
        <c:numFmt formatCode="General" sourceLinked="0"/>
        <c:majorTickMark val="out"/>
        <c:minorTickMark val="none"/>
        <c:tickLblPos val="nextTo"/>
        <c:txPr>
          <a:bodyPr/>
          <a:lstStyle/>
          <a:p>
            <a:pPr>
              <a:defRPr sz="800" b="0"/>
            </a:pPr>
            <a:endParaRPr lang="en-US"/>
          </a:p>
        </c:txPr>
        <c:crossAx val="95576188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333375</xdr:colOff>
      <xdr:row>1</xdr:row>
      <xdr:rowOff>19051</xdr:rowOff>
    </xdr:from>
    <xdr:to>
      <xdr:col>8</xdr:col>
      <xdr:colOff>333375</xdr:colOff>
      <xdr:row>7</xdr:row>
      <xdr:rowOff>123825</xdr:rowOff>
    </xdr:to>
    <xdr:sp macro="" textlink="">
      <xdr:nvSpPr>
        <xdr:cNvPr id="2" name="TextBox 1"/>
        <xdr:cNvSpPr txBox="1"/>
      </xdr:nvSpPr>
      <xdr:spPr>
        <a:xfrm>
          <a:off x="333375" y="209551"/>
          <a:ext cx="4876800" cy="124777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College Board</a:t>
          </a:r>
          <a:endParaRPr lang="en-US" sz="1100" baseline="0"/>
        </a:p>
        <a:p>
          <a:endParaRPr lang="en-US" sz="1100" baseline="0"/>
        </a:p>
        <a:p>
          <a:r>
            <a:rPr lang="en-US" sz="1100">
              <a:solidFill>
                <a:schemeClr val="dk1"/>
              </a:solidFill>
              <a:latin typeface="+mn-lt"/>
              <a:ea typeface="+mn-ea"/>
              <a:cs typeface="+mn-cs"/>
            </a:rPr>
            <a:t>If you are interested in SAT scores across states and whether they are related to student-teacher ratios, the charts at </a:t>
          </a:r>
          <a:r>
            <a:rPr lang="en-US" sz="1100">
              <a:solidFill>
                <a:schemeClr val="dk1"/>
              </a:solidFill>
              <a:latin typeface="+mn-lt"/>
              <a:ea typeface="+mn-ea"/>
              <a:cs typeface="+mn-cs"/>
              <a:hlinkClick xmlns:r="http://schemas.openxmlformats.org/officeDocument/2006/relationships" r:id=""/>
            </a:rPr>
            <a:t>http://flowingdata.com/2009/11/10/do-we-need-more-teachers/sat-scores/</a:t>
          </a:r>
          <a:r>
            <a:rPr lang="en-US" sz="1100">
              <a:solidFill>
                <a:schemeClr val="dk1"/>
              </a:solidFill>
              <a:latin typeface="+mn-lt"/>
              <a:ea typeface="+mn-ea"/>
              <a:cs typeface="+mn-cs"/>
            </a:rPr>
            <a:t> are quite revealing.</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15</xdr:row>
      <xdr:rowOff>80962</xdr:rowOff>
    </xdr:from>
    <xdr:to>
      <xdr:col>5</xdr:col>
      <xdr:colOff>600075</xdr:colOff>
      <xdr:row>32</xdr:row>
      <xdr:rowOff>17462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12700</xdr:colOff>
      <xdr:row>46</xdr:row>
      <xdr:rowOff>80962</xdr:rowOff>
    </xdr:from>
    <xdr:to>
      <xdr:col>5</xdr:col>
      <xdr:colOff>600075</xdr:colOff>
      <xdr:row>63</xdr:row>
      <xdr:rowOff>17462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12700</xdr:colOff>
      <xdr:row>77</xdr:row>
      <xdr:rowOff>80962</xdr:rowOff>
    </xdr:from>
    <xdr:to>
      <xdr:col>5</xdr:col>
      <xdr:colOff>600075</xdr:colOff>
      <xdr:row>94</xdr:row>
      <xdr:rowOff>17462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12700</xdr:colOff>
      <xdr:row>108</xdr:row>
      <xdr:rowOff>80962</xdr:rowOff>
    </xdr:from>
    <xdr:to>
      <xdr:col>5</xdr:col>
      <xdr:colOff>600075</xdr:colOff>
      <xdr:row>125</xdr:row>
      <xdr:rowOff>17462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12700</xdr:colOff>
      <xdr:row>139</xdr:row>
      <xdr:rowOff>80962</xdr:rowOff>
    </xdr:from>
    <xdr:to>
      <xdr:col>5</xdr:col>
      <xdr:colOff>600075</xdr:colOff>
      <xdr:row>156</xdr:row>
      <xdr:rowOff>17462</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38100</xdr:colOff>
      <xdr:row>17</xdr:row>
      <xdr:rowOff>76200</xdr:rowOff>
    </xdr:from>
    <xdr:to>
      <xdr:col>9</xdr:col>
      <xdr:colOff>800100</xdr:colOff>
      <xdr:row>25</xdr:row>
      <xdr:rowOff>133350</xdr:rowOff>
    </xdr:to>
    <xdr:sp macro="" textlink="">
      <xdr:nvSpPr>
        <xdr:cNvPr id="7" name="TextBox 6"/>
        <xdr:cNvSpPr txBox="1"/>
      </xdr:nvSpPr>
      <xdr:spPr>
        <a:xfrm>
          <a:off x="5124450" y="2857500"/>
          <a:ext cx="3305175" cy="13525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a:t>
          </a:r>
          <a:r>
            <a:rPr lang="en-US" sz="1100" baseline="0"/>
            <a:t> </a:t>
          </a:r>
          <a:r>
            <a:rPr lang="en-US" sz="1100"/>
            <a:t>histograms to the left use</a:t>
          </a:r>
          <a:r>
            <a:rPr lang="en-US" sz="1100" baseline="0"/>
            <a:t> the StatTools default bins. They are all irregularly shaped, so it's difficult to characterize them as symmetric or skewed. To see the effect of bin choices, the histograms to the right were constructed with only five bins. They are neither "better" or more informative. Sometimes it's just a matter of taste (and luck).</a:t>
          </a:r>
          <a:endParaRPr lang="en-US" sz="1100"/>
        </a:p>
      </xdr:txBody>
    </xdr:sp>
    <xdr:clientData/>
  </xdr:twoCellAnchor>
  <xdr:twoCellAnchor editAs="oneCell">
    <xdr:from>
      <xdr:col>10</xdr:col>
      <xdr:colOff>12700</xdr:colOff>
      <xdr:row>13</xdr:row>
      <xdr:rowOff>80962</xdr:rowOff>
    </xdr:from>
    <xdr:to>
      <xdr:col>15</xdr:col>
      <xdr:colOff>600075</xdr:colOff>
      <xdr:row>30</xdr:row>
      <xdr:rowOff>17462</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10</xdr:col>
      <xdr:colOff>12700</xdr:colOff>
      <xdr:row>42</xdr:row>
      <xdr:rowOff>80962</xdr:rowOff>
    </xdr:from>
    <xdr:to>
      <xdr:col>15</xdr:col>
      <xdr:colOff>600075</xdr:colOff>
      <xdr:row>59</xdr:row>
      <xdr:rowOff>17462</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10</xdr:col>
      <xdr:colOff>12700</xdr:colOff>
      <xdr:row>71</xdr:row>
      <xdr:rowOff>80962</xdr:rowOff>
    </xdr:from>
    <xdr:to>
      <xdr:col>15</xdr:col>
      <xdr:colOff>600075</xdr:colOff>
      <xdr:row>88</xdr:row>
      <xdr:rowOff>17462</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10</xdr:col>
      <xdr:colOff>12700</xdr:colOff>
      <xdr:row>100</xdr:row>
      <xdr:rowOff>80962</xdr:rowOff>
    </xdr:from>
    <xdr:to>
      <xdr:col>15</xdr:col>
      <xdr:colOff>600075</xdr:colOff>
      <xdr:row>117</xdr:row>
      <xdr:rowOff>17462</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10</xdr:col>
      <xdr:colOff>12700</xdr:colOff>
      <xdr:row>129</xdr:row>
      <xdr:rowOff>80962</xdr:rowOff>
    </xdr:from>
    <xdr:to>
      <xdr:col>15</xdr:col>
      <xdr:colOff>600075</xdr:colOff>
      <xdr:row>146</xdr:row>
      <xdr:rowOff>17462</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485775</xdr:colOff>
      <xdr:row>12</xdr:row>
      <xdr:rowOff>142875</xdr:rowOff>
    </xdr:from>
    <xdr:to>
      <xdr:col>11</xdr:col>
      <xdr:colOff>409575</xdr:colOff>
      <xdr:row>25</xdr:row>
      <xdr:rowOff>142875</xdr:rowOff>
    </xdr:to>
    <xdr:sp macro="" textlink="">
      <xdr:nvSpPr>
        <xdr:cNvPr id="2" name="TextBox 1"/>
        <xdr:cNvSpPr txBox="1"/>
      </xdr:nvSpPr>
      <xdr:spPr>
        <a:xfrm>
          <a:off x="5848350" y="2286000"/>
          <a:ext cx="4162425" cy="24765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Parts</a:t>
          </a:r>
          <a:r>
            <a:rPr lang="en-US" sz="1100" b="1" baseline="0"/>
            <a:t> c, </a:t>
          </a:r>
          <a:r>
            <a:rPr lang="en-US" sz="1100" b="1"/>
            <a:t>d:  </a:t>
          </a:r>
          <a:r>
            <a:rPr lang="en-US" sz="1100"/>
            <a:t>For the "score" variables, either</a:t>
          </a:r>
          <a:r>
            <a:rPr lang="en-US" sz="1100" baseline="0"/>
            <a:t> the mean or median could be quoted; they are pretty similar. Probably the median would be preferred because it isn't affected by extremes. For the % taking, the mean clearly overstates the "typical" value, which is apparent from the histograms. Again, the median might be preferred. The mode is 5% because more states (6 of them) have this value than any other value. Still, it's not a very "stable" measure.</a:t>
          </a:r>
        </a:p>
        <a:p>
          <a:endParaRPr lang="en-US" sz="1100" baseline="0"/>
        </a:p>
        <a:p>
          <a:r>
            <a:rPr lang="en-US" sz="1100" baseline="0"/>
            <a:t>Part e:  The mean of a sum (combined score) is always the sum of the means (see cell H9). Medians don't combine this way, although it's pretty close in this example (see cell H11).</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52"/>
  <sheetViews>
    <sheetView tabSelected="1" workbookViewId="0"/>
  </sheetViews>
  <sheetFormatPr defaultRowHeight="15" x14ac:dyDescent="0.25"/>
  <cols>
    <col min="1" max="1" width="18.7109375" style="1" bestFit="1" customWidth="1"/>
    <col min="2" max="6" width="14.85546875" style="1" customWidth="1"/>
    <col min="7" max="248" width="9.140625" style="1"/>
    <col min="249" max="249" width="15.5703125" style="1" customWidth="1"/>
    <col min="250" max="251" width="9.140625" style="1"/>
    <col min="252" max="252" width="10.28515625" style="1" customWidth="1"/>
    <col min="253" max="504" width="9.140625" style="1"/>
    <col min="505" max="505" width="15.5703125" style="1" customWidth="1"/>
    <col min="506" max="507" width="9.140625" style="1"/>
    <col min="508" max="508" width="10.28515625" style="1" customWidth="1"/>
    <col min="509" max="760" width="9.140625" style="1"/>
    <col min="761" max="761" width="15.5703125" style="1" customWidth="1"/>
    <col min="762" max="763" width="9.140625" style="1"/>
    <col min="764" max="764" width="10.28515625" style="1" customWidth="1"/>
    <col min="765" max="1016" width="9.140625" style="1"/>
    <col min="1017" max="1017" width="15.5703125" style="1" customWidth="1"/>
    <col min="1018" max="1019" width="9.140625" style="1"/>
    <col min="1020" max="1020" width="10.28515625" style="1" customWidth="1"/>
    <col min="1021" max="1272" width="9.140625" style="1"/>
    <col min="1273" max="1273" width="15.5703125" style="1" customWidth="1"/>
    <col min="1274" max="1275" width="9.140625" style="1"/>
    <col min="1276" max="1276" width="10.28515625" style="1" customWidth="1"/>
    <col min="1277" max="1528" width="9.140625" style="1"/>
    <col min="1529" max="1529" width="15.5703125" style="1" customWidth="1"/>
    <col min="1530" max="1531" width="9.140625" style="1"/>
    <col min="1532" max="1532" width="10.28515625" style="1" customWidth="1"/>
    <col min="1533" max="1784" width="9.140625" style="1"/>
    <col min="1785" max="1785" width="15.5703125" style="1" customWidth="1"/>
    <col min="1786" max="1787" width="9.140625" style="1"/>
    <col min="1788" max="1788" width="10.28515625" style="1" customWidth="1"/>
    <col min="1789" max="2040" width="9.140625" style="1"/>
    <col min="2041" max="2041" width="15.5703125" style="1" customWidth="1"/>
    <col min="2042" max="2043" width="9.140625" style="1"/>
    <col min="2044" max="2044" width="10.28515625" style="1" customWidth="1"/>
    <col min="2045" max="2296" width="9.140625" style="1"/>
    <col min="2297" max="2297" width="15.5703125" style="1" customWidth="1"/>
    <col min="2298" max="2299" width="9.140625" style="1"/>
    <col min="2300" max="2300" width="10.28515625" style="1" customWidth="1"/>
    <col min="2301" max="2552" width="9.140625" style="1"/>
    <col min="2553" max="2553" width="15.5703125" style="1" customWidth="1"/>
    <col min="2554" max="2555" width="9.140625" style="1"/>
    <col min="2556" max="2556" width="10.28515625" style="1" customWidth="1"/>
    <col min="2557" max="2808" width="9.140625" style="1"/>
    <col min="2809" max="2809" width="15.5703125" style="1" customWidth="1"/>
    <col min="2810" max="2811" width="9.140625" style="1"/>
    <col min="2812" max="2812" width="10.28515625" style="1" customWidth="1"/>
    <col min="2813" max="3064" width="9.140625" style="1"/>
    <col min="3065" max="3065" width="15.5703125" style="1" customWidth="1"/>
    <col min="3066" max="3067" width="9.140625" style="1"/>
    <col min="3068" max="3068" width="10.28515625" style="1" customWidth="1"/>
    <col min="3069" max="3320" width="9.140625" style="1"/>
    <col min="3321" max="3321" width="15.5703125" style="1" customWidth="1"/>
    <col min="3322" max="3323" width="9.140625" style="1"/>
    <col min="3324" max="3324" width="10.28515625" style="1" customWidth="1"/>
    <col min="3325" max="3576" width="9.140625" style="1"/>
    <col min="3577" max="3577" width="15.5703125" style="1" customWidth="1"/>
    <col min="3578" max="3579" width="9.140625" style="1"/>
    <col min="3580" max="3580" width="10.28515625" style="1" customWidth="1"/>
    <col min="3581" max="3832" width="9.140625" style="1"/>
    <col min="3833" max="3833" width="15.5703125" style="1" customWidth="1"/>
    <col min="3834" max="3835" width="9.140625" style="1"/>
    <col min="3836" max="3836" width="10.28515625" style="1" customWidth="1"/>
    <col min="3837" max="4088" width="9.140625" style="1"/>
    <col min="4089" max="4089" width="15.5703125" style="1" customWidth="1"/>
    <col min="4090" max="4091" width="9.140625" style="1"/>
    <col min="4092" max="4092" width="10.28515625" style="1" customWidth="1"/>
    <col min="4093" max="4344" width="9.140625" style="1"/>
    <col min="4345" max="4345" width="15.5703125" style="1" customWidth="1"/>
    <col min="4346" max="4347" width="9.140625" style="1"/>
    <col min="4348" max="4348" width="10.28515625" style="1" customWidth="1"/>
    <col min="4349" max="4600" width="9.140625" style="1"/>
    <col min="4601" max="4601" width="15.5703125" style="1" customWidth="1"/>
    <col min="4602" max="4603" width="9.140625" style="1"/>
    <col min="4604" max="4604" width="10.28515625" style="1" customWidth="1"/>
    <col min="4605" max="4856" width="9.140625" style="1"/>
    <col min="4857" max="4857" width="15.5703125" style="1" customWidth="1"/>
    <col min="4858" max="4859" width="9.140625" style="1"/>
    <col min="4860" max="4860" width="10.28515625" style="1" customWidth="1"/>
    <col min="4861" max="5112" width="9.140625" style="1"/>
    <col min="5113" max="5113" width="15.5703125" style="1" customWidth="1"/>
    <col min="5114" max="5115" width="9.140625" style="1"/>
    <col min="5116" max="5116" width="10.28515625" style="1" customWidth="1"/>
    <col min="5117" max="5368" width="9.140625" style="1"/>
    <col min="5369" max="5369" width="15.5703125" style="1" customWidth="1"/>
    <col min="5370" max="5371" width="9.140625" style="1"/>
    <col min="5372" max="5372" width="10.28515625" style="1" customWidth="1"/>
    <col min="5373" max="5624" width="9.140625" style="1"/>
    <col min="5625" max="5625" width="15.5703125" style="1" customWidth="1"/>
    <col min="5626" max="5627" width="9.140625" style="1"/>
    <col min="5628" max="5628" width="10.28515625" style="1" customWidth="1"/>
    <col min="5629" max="5880" width="9.140625" style="1"/>
    <col min="5881" max="5881" width="15.5703125" style="1" customWidth="1"/>
    <col min="5882" max="5883" width="9.140625" style="1"/>
    <col min="5884" max="5884" width="10.28515625" style="1" customWidth="1"/>
    <col min="5885" max="6136" width="9.140625" style="1"/>
    <col min="6137" max="6137" width="15.5703125" style="1" customWidth="1"/>
    <col min="6138" max="6139" width="9.140625" style="1"/>
    <col min="6140" max="6140" width="10.28515625" style="1" customWidth="1"/>
    <col min="6141" max="6392" width="9.140625" style="1"/>
    <col min="6393" max="6393" width="15.5703125" style="1" customWidth="1"/>
    <col min="6394" max="6395" width="9.140625" style="1"/>
    <col min="6396" max="6396" width="10.28515625" style="1" customWidth="1"/>
    <col min="6397" max="6648" width="9.140625" style="1"/>
    <col min="6649" max="6649" width="15.5703125" style="1" customWidth="1"/>
    <col min="6650" max="6651" width="9.140625" style="1"/>
    <col min="6652" max="6652" width="10.28515625" style="1" customWidth="1"/>
    <col min="6653" max="6904" width="9.140625" style="1"/>
    <col min="6905" max="6905" width="15.5703125" style="1" customWidth="1"/>
    <col min="6906" max="6907" width="9.140625" style="1"/>
    <col min="6908" max="6908" width="10.28515625" style="1" customWidth="1"/>
    <col min="6909" max="7160" width="9.140625" style="1"/>
    <col min="7161" max="7161" width="15.5703125" style="1" customWidth="1"/>
    <col min="7162" max="7163" width="9.140625" style="1"/>
    <col min="7164" max="7164" width="10.28515625" style="1" customWidth="1"/>
    <col min="7165" max="7416" width="9.140625" style="1"/>
    <col min="7417" max="7417" width="15.5703125" style="1" customWidth="1"/>
    <col min="7418" max="7419" width="9.140625" style="1"/>
    <col min="7420" max="7420" width="10.28515625" style="1" customWidth="1"/>
    <col min="7421" max="7672" width="9.140625" style="1"/>
    <col min="7673" max="7673" width="15.5703125" style="1" customWidth="1"/>
    <col min="7674" max="7675" width="9.140625" style="1"/>
    <col min="7676" max="7676" width="10.28515625" style="1" customWidth="1"/>
    <col min="7677" max="7928" width="9.140625" style="1"/>
    <col min="7929" max="7929" width="15.5703125" style="1" customWidth="1"/>
    <col min="7930" max="7931" width="9.140625" style="1"/>
    <col min="7932" max="7932" width="10.28515625" style="1" customWidth="1"/>
    <col min="7933" max="8184" width="9.140625" style="1"/>
    <col min="8185" max="8185" width="15.5703125" style="1" customWidth="1"/>
    <col min="8186" max="8187" width="9.140625" style="1"/>
    <col min="8188" max="8188" width="10.28515625" style="1" customWidth="1"/>
    <col min="8189" max="8440" width="9.140625" style="1"/>
    <col min="8441" max="8441" width="15.5703125" style="1" customWidth="1"/>
    <col min="8442" max="8443" width="9.140625" style="1"/>
    <col min="8444" max="8444" width="10.28515625" style="1" customWidth="1"/>
    <col min="8445" max="8696" width="9.140625" style="1"/>
    <col min="8697" max="8697" width="15.5703125" style="1" customWidth="1"/>
    <col min="8698" max="8699" width="9.140625" style="1"/>
    <col min="8700" max="8700" width="10.28515625" style="1" customWidth="1"/>
    <col min="8701" max="8952" width="9.140625" style="1"/>
    <col min="8953" max="8953" width="15.5703125" style="1" customWidth="1"/>
    <col min="8954" max="8955" width="9.140625" style="1"/>
    <col min="8956" max="8956" width="10.28515625" style="1" customWidth="1"/>
    <col min="8957" max="9208" width="9.140625" style="1"/>
    <col min="9209" max="9209" width="15.5703125" style="1" customWidth="1"/>
    <col min="9210" max="9211" width="9.140625" style="1"/>
    <col min="9212" max="9212" width="10.28515625" style="1" customWidth="1"/>
    <col min="9213" max="9464" width="9.140625" style="1"/>
    <col min="9465" max="9465" width="15.5703125" style="1" customWidth="1"/>
    <col min="9466" max="9467" width="9.140625" style="1"/>
    <col min="9468" max="9468" width="10.28515625" style="1" customWidth="1"/>
    <col min="9469" max="9720" width="9.140625" style="1"/>
    <col min="9721" max="9721" width="15.5703125" style="1" customWidth="1"/>
    <col min="9722" max="9723" width="9.140625" style="1"/>
    <col min="9724" max="9724" width="10.28515625" style="1" customWidth="1"/>
    <col min="9725" max="9976" width="9.140625" style="1"/>
    <col min="9977" max="9977" width="15.5703125" style="1" customWidth="1"/>
    <col min="9978" max="9979" width="9.140625" style="1"/>
    <col min="9980" max="9980" width="10.28515625" style="1" customWidth="1"/>
    <col min="9981" max="10232" width="9.140625" style="1"/>
    <col min="10233" max="10233" width="15.5703125" style="1" customWidth="1"/>
    <col min="10234" max="10235" width="9.140625" style="1"/>
    <col min="10236" max="10236" width="10.28515625" style="1" customWidth="1"/>
    <col min="10237" max="10488" width="9.140625" style="1"/>
    <col min="10489" max="10489" width="15.5703125" style="1" customWidth="1"/>
    <col min="10490" max="10491" width="9.140625" style="1"/>
    <col min="10492" max="10492" width="10.28515625" style="1" customWidth="1"/>
    <col min="10493" max="10744" width="9.140625" style="1"/>
    <col min="10745" max="10745" width="15.5703125" style="1" customWidth="1"/>
    <col min="10746" max="10747" width="9.140625" style="1"/>
    <col min="10748" max="10748" width="10.28515625" style="1" customWidth="1"/>
    <col min="10749" max="11000" width="9.140625" style="1"/>
    <col min="11001" max="11001" width="15.5703125" style="1" customWidth="1"/>
    <col min="11002" max="11003" width="9.140625" style="1"/>
    <col min="11004" max="11004" width="10.28515625" style="1" customWidth="1"/>
    <col min="11005" max="11256" width="9.140625" style="1"/>
    <col min="11257" max="11257" width="15.5703125" style="1" customWidth="1"/>
    <col min="11258" max="11259" width="9.140625" style="1"/>
    <col min="11260" max="11260" width="10.28515625" style="1" customWidth="1"/>
    <col min="11261" max="11512" width="9.140625" style="1"/>
    <col min="11513" max="11513" width="15.5703125" style="1" customWidth="1"/>
    <col min="11514" max="11515" width="9.140625" style="1"/>
    <col min="11516" max="11516" width="10.28515625" style="1" customWidth="1"/>
    <col min="11517" max="11768" width="9.140625" style="1"/>
    <col min="11769" max="11769" width="15.5703125" style="1" customWidth="1"/>
    <col min="11770" max="11771" width="9.140625" style="1"/>
    <col min="11772" max="11772" width="10.28515625" style="1" customWidth="1"/>
    <col min="11773" max="12024" width="9.140625" style="1"/>
    <col min="12025" max="12025" width="15.5703125" style="1" customWidth="1"/>
    <col min="12026" max="12027" width="9.140625" style="1"/>
    <col min="12028" max="12028" width="10.28515625" style="1" customWidth="1"/>
    <col min="12029" max="12280" width="9.140625" style="1"/>
    <col min="12281" max="12281" width="15.5703125" style="1" customWidth="1"/>
    <col min="12282" max="12283" width="9.140625" style="1"/>
    <col min="12284" max="12284" width="10.28515625" style="1" customWidth="1"/>
    <col min="12285" max="12536" width="9.140625" style="1"/>
    <col min="12537" max="12537" width="15.5703125" style="1" customWidth="1"/>
    <col min="12538" max="12539" width="9.140625" style="1"/>
    <col min="12540" max="12540" width="10.28515625" style="1" customWidth="1"/>
    <col min="12541" max="12792" width="9.140625" style="1"/>
    <col min="12793" max="12793" width="15.5703125" style="1" customWidth="1"/>
    <col min="12794" max="12795" width="9.140625" style="1"/>
    <col min="12796" max="12796" width="10.28515625" style="1" customWidth="1"/>
    <col min="12797" max="13048" width="9.140625" style="1"/>
    <col min="13049" max="13049" width="15.5703125" style="1" customWidth="1"/>
    <col min="13050" max="13051" width="9.140625" style="1"/>
    <col min="13052" max="13052" width="10.28515625" style="1" customWidth="1"/>
    <col min="13053" max="13304" width="9.140625" style="1"/>
    <col min="13305" max="13305" width="15.5703125" style="1" customWidth="1"/>
    <col min="13306" max="13307" width="9.140625" style="1"/>
    <col min="13308" max="13308" width="10.28515625" style="1" customWidth="1"/>
    <col min="13309" max="13560" width="9.140625" style="1"/>
    <col min="13561" max="13561" width="15.5703125" style="1" customWidth="1"/>
    <col min="13562" max="13563" width="9.140625" style="1"/>
    <col min="13564" max="13564" width="10.28515625" style="1" customWidth="1"/>
    <col min="13565" max="13816" width="9.140625" style="1"/>
    <col min="13817" max="13817" width="15.5703125" style="1" customWidth="1"/>
    <col min="13818" max="13819" width="9.140625" style="1"/>
    <col min="13820" max="13820" width="10.28515625" style="1" customWidth="1"/>
    <col min="13821" max="14072" width="9.140625" style="1"/>
    <col min="14073" max="14073" width="15.5703125" style="1" customWidth="1"/>
    <col min="14074" max="14075" width="9.140625" style="1"/>
    <col min="14076" max="14076" width="10.28515625" style="1" customWidth="1"/>
    <col min="14077" max="14328" width="9.140625" style="1"/>
    <col min="14329" max="14329" width="15.5703125" style="1" customWidth="1"/>
    <col min="14330" max="14331" width="9.140625" style="1"/>
    <col min="14332" max="14332" width="10.28515625" style="1" customWidth="1"/>
    <col min="14333" max="14584" width="9.140625" style="1"/>
    <col min="14585" max="14585" width="15.5703125" style="1" customWidth="1"/>
    <col min="14586" max="14587" width="9.140625" style="1"/>
    <col min="14588" max="14588" width="10.28515625" style="1" customWidth="1"/>
    <col min="14589" max="14840" width="9.140625" style="1"/>
    <col min="14841" max="14841" width="15.5703125" style="1" customWidth="1"/>
    <col min="14842" max="14843" width="9.140625" style="1"/>
    <col min="14844" max="14844" width="10.28515625" style="1" customWidth="1"/>
    <col min="14845" max="15096" width="9.140625" style="1"/>
    <col min="15097" max="15097" width="15.5703125" style="1" customWidth="1"/>
    <col min="15098" max="15099" width="9.140625" style="1"/>
    <col min="15100" max="15100" width="10.28515625" style="1" customWidth="1"/>
    <col min="15101" max="15352" width="9.140625" style="1"/>
    <col min="15353" max="15353" width="15.5703125" style="1" customWidth="1"/>
    <col min="15354" max="15355" width="9.140625" style="1"/>
    <col min="15356" max="15356" width="10.28515625" style="1" customWidth="1"/>
    <col min="15357" max="15608" width="9.140625" style="1"/>
    <col min="15609" max="15609" width="15.5703125" style="1" customWidth="1"/>
    <col min="15610" max="15611" width="9.140625" style="1"/>
    <col min="15612" max="15612" width="10.28515625" style="1" customWidth="1"/>
    <col min="15613" max="15864" width="9.140625" style="1"/>
    <col min="15865" max="15865" width="15.5703125" style="1" customWidth="1"/>
    <col min="15866" max="15867" width="9.140625" style="1"/>
    <col min="15868" max="15868" width="10.28515625" style="1" customWidth="1"/>
    <col min="15869" max="16120" width="9.140625" style="1"/>
    <col min="16121" max="16121" width="15.5703125" style="1" customWidth="1"/>
    <col min="16122" max="16123" width="9.140625" style="1"/>
    <col min="16124" max="16124" width="10.28515625" style="1" customWidth="1"/>
    <col min="16125" max="16384" width="9.140625" style="1"/>
  </cols>
  <sheetData>
    <row r="1" spans="1:6" s="4" customFormat="1" x14ac:dyDescent="0.25">
      <c r="A1" s="4" t="s">
        <v>0</v>
      </c>
      <c r="B1" s="5" t="s">
        <v>56</v>
      </c>
      <c r="C1" s="5" t="s">
        <v>53</v>
      </c>
      <c r="D1" s="5" t="s">
        <v>1</v>
      </c>
      <c r="E1" s="5" t="s">
        <v>54</v>
      </c>
      <c r="F1" s="5" t="s">
        <v>55</v>
      </c>
    </row>
    <row r="2" spans="1:6" ht="15" customHeight="1" x14ac:dyDescent="0.25">
      <c r="A2" s="2" t="s">
        <v>2</v>
      </c>
      <c r="B2" s="3">
        <v>7.0000000000000007E-2</v>
      </c>
      <c r="C2" s="2">
        <v>557</v>
      </c>
      <c r="D2" s="2">
        <v>552</v>
      </c>
      <c r="E2" s="2">
        <v>549</v>
      </c>
      <c r="F2" s="2">
        <v>1658</v>
      </c>
    </row>
    <row r="3" spans="1:6" ht="15" customHeight="1" x14ac:dyDescent="0.25">
      <c r="A3" s="2" t="s">
        <v>3</v>
      </c>
      <c r="B3" s="3">
        <v>0.46</v>
      </c>
      <c r="C3" s="2">
        <v>520</v>
      </c>
      <c r="D3" s="2">
        <v>516</v>
      </c>
      <c r="E3" s="2">
        <v>492</v>
      </c>
      <c r="F3" s="2">
        <v>1528</v>
      </c>
    </row>
    <row r="4" spans="1:6" ht="15" customHeight="1" x14ac:dyDescent="0.25">
      <c r="A4" s="2" t="s">
        <v>4</v>
      </c>
      <c r="B4" s="3">
        <v>0.26</v>
      </c>
      <c r="C4" s="2">
        <v>516</v>
      </c>
      <c r="D4" s="2">
        <v>521</v>
      </c>
      <c r="E4" s="2">
        <v>497</v>
      </c>
      <c r="F4" s="2">
        <v>1534</v>
      </c>
    </row>
    <row r="5" spans="1:6" ht="15" customHeight="1" x14ac:dyDescent="0.25">
      <c r="A5" s="2" t="s">
        <v>5</v>
      </c>
      <c r="B5" s="3">
        <v>0.05</v>
      </c>
      <c r="C5" s="2">
        <v>572</v>
      </c>
      <c r="D5" s="2">
        <v>572</v>
      </c>
      <c r="E5" s="2">
        <v>556</v>
      </c>
      <c r="F5" s="2">
        <v>1700</v>
      </c>
    </row>
    <row r="6" spans="1:6" ht="15" customHeight="1" x14ac:dyDescent="0.25">
      <c r="A6" s="2" t="s">
        <v>6</v>
      </c>
      <c r="B6" s="3">
        <v>0.49</v>
      </c>
      <c r="C6" s="2">
        <v>500</v>
      </c>
      <c r="D6" s="2">
        <v>513</v>
      </c>
      <c r="E6" s="2">
        <v>498</v>
      </c>
      <c r="F6" s="2">
        <v>1511</v>
      </c>
    </row>
    <row r="7" spans="1:6" ht="15" customHeight="1" x14ac:dyDescent="0.25">
      <c r="A7" s="2" t="s">
        <v>7</v>
      </c>
      <c r="B7" s="3">
        <v>0.2</v>
      </c>
      <c r="C7" s="2">
        <v>568</v>
      </c>
      <c r="D7" s="2">
        <v>575</v>
      </c>
      <c r="E7" s="2">
        <v>555</v>
      </c>
      <c r="F7" s="2">
        <v>1698</v>
      </c>
    </row>
    <row r="8" spans="1:6" ht="15" customHeight="1" x14ac:dyDescent="0.25">
      <c r="A8" s="2" t="s">
        <v>8</v>
      </c>
      <c r="B8" s="3">
        <v>0.83</v>
      </c>
      <c r="C8" s="2">
        <v>509</v>
      </c>
      <c r="D8" s="2">
        <v>513</v>
      </c>
      <c r="E8" s="2">
        <v>512</v>
      </c>
      <c r="F8" s="2">
        <v>1534</v>
      </c>
    </row>
    <row r="9" spans="1:6" ht="15" customHeight="1" x14ac:dyDescent="0.25">
      <c r="A9" s="2" t="s">
        <v>9</v>
      </c>
      <c r="B9" s="3">
        <v>0.71</v>
      </c>
      <c r="C9" s="2">
        <v>495</v>
      </c>
      <c r="D9" s="2">
        <v>498</v>
      </c>
      <c r="E9" s="2">
        <v>484</v>
      </c>
      <c r="F9" s="2">
        <v>1477</v>
      </c>
    </row>
    <row r="10" spans="1:6" ht="15" customHeight="1" x14ac:dyDescent="0.25">
      <c r="A10" s="2" t="s">
        <v>52</v>
      </c>
      <c r="B10" s="3">
        <v>0.79</v>
      </c>
      <c r="C10" s="2">
        <v>466</v>
      </c>
      <c r="D10" s="2">
        <v>451</v>
      </c>
      <c r="E10" s="2">
        <v>461</v>
      </c>
      <c r="F10" s="2">
        <v>1378</v>
      </c>
    </row>
    <row r="11" spans="1:6" ht="15" customHeight="1" x14ac:dyDescent="0.25">
      <c r="A11" s="2" t="s">
        <v>10</v>
      </c>
      <c r="B11" s="3">
        <v>0.59</v>
      </c>
      <c r="C11" s="2">
        <v>497</v>
      </c>
      <c r="D11" s="2">
        <v>498</v>
      </c>
      <c r="E11" s="2">
        <v>480</v>
      </c>
      <c r="F11" s="2">
        <v>1475</v>
      </c>
    </row>
    <row r="12" spans="1:6" ht="15" customHeight="1" x14ac:dyDescent="0.25">
      <c r="A12" s="2" t="s">
        <v>11</v>
      </c>
      <c r="B12" s="3">
        <v>0.71</v>
      </c>
      <c r="C12" s="2">
        <v>490</v>
      </c>
      <c r="D12" s="2">
        <v>491</v>
      </c>
      <c r="E12" s="2">
        <v>479</v>
      </c>
      <c r="F12" s="2">
        <v>1460</v>
      </c>
    </row>
    <row r="13" spans="1:6" ht="15" customHeight="1" x14ac:dyDescent="0.25">
      <c r="A13" s="2" t="s">
        <v>12</v>
      </c>
      <c r="B13" s="3">
        <v>0.57999999999999996</v>
      </c>
      <c r="C13" s="2">
        <v>479</v>
      </c>
      <c r="D13" s="2">
        <v>502</v>
      </c>
      <c r="E13" s="2">
        <v>469</v>
      </c>
      <c r="F13" s="2">
        <v>1450</v>
      </c>
    </row>
    <row r="14" spans="1:6" ht="15" customHeight="1" x14ac:dyDescent="0.25">
      <c r="A14" s="2" t="s">
        <v>13</v>
      </c>
      <c r="B14" s="3">
        <v>0.18</v>
      </c>
      <c r="C14" s="2">
        <v>541</v>
      </c>
      <c r="D14" s="2">
        <v>540</v>
      </c>
      <c r="E14" s="2">
        <v>520</v>
      </c>
      <c r="F14" s="2">
        <v>1601</v>
      </c>
    </row>
    <row r="15" spans="1:6" ht="15" customHeight="1" x14ac:dyDescent="0.25">
      <c r="A15" s="2" t="s">
        <v>14</v>
      </c>
      <c r="B15" s="3">
        <v>0.06</v>
      </c>
      <c r="C15" s="2">
        <v>588</v>
      </c>
      <c r="D15" s="2">
        <v>604</v>
      </c>
      <c r="E15" s="2">
        <v>583</v>
      </c>
      <c r="F15" s="2">
        <v>1775</v>
      </c>
    </row>
    <row r="16" spans="1:6" ht="15" customHeight="1" x14ac:dyDescent="0.25">
      <c r="A16" s="2" t="s">
        <v>15</v>
      </c>
      <c r="B16" s="3">
        <v>0.63</v>
      </c>
      <c r="C16" s="2">
        <v>496</v>
      </c>
      <c r="D16" s="2">
        <v>507</v>
      </c>
      <c r="E16" s="2">
        <v>480</v>
      </c>
      <c r="F16" s="2">
        <v>1483</v>
      </c>
    </row>
    <row r="17" spans="1:6" ht="15" customHeight="1" x14ac:dyDescent="0.25">
      <c r="A17" s="2" t="s">
        <v>16</v>
      </c>
      <c r="B17" s="3">
        <v>0.03</v>
      </c>
      <c r="C17" s="2">
        <v>610</v>
      </c>
      <c r="D17" s="2">
        <v>615</v>
      </c>
      <c r="E17" s="2">
        <v>588</v>
      </c>
      <c r="F17" s="2">
        <v>1813</v>
      </c>
    </row>
    <row r="18" spans="1:6" ht="15" customHeight="1" x14ac:dyDescent="0.25">
      <c r="A18" s="2" t="s">
        <v>17</v>
      </c>
      <c r="B18" s="3">
        <v>7.0000000000000007E-2</v>
      </c>
      <c r="C18" s="2">
        <v>581</v>
      </c>
      <c r="D18" s="2">
        <v>589</v>
      </c>
      <c r="E18" s="2">
        <v>564</v>
      </c>
      <c r="F18" s="2">
        <v>1734</v>
      </c>
    </row>
    <row r="19" spans="1:6" ht="15" customHeight="1" x14ac:dyDescent="0.25">
      <c r="A19" s="2" t="s">
        <v>18</v>
      </c>
      <c r="B19" s="3">
        <v>7.0000000000000007E-2</v>
      </c>
      <c r="C19" s="2">
        <v>573</v>
      </c>
      <c r="D19" s="2">
        <v>573</v>
      </c>
      <c r="E19" s="2">
        <v>561</v>
      </c>
      <c r="F19" s="2">
        <v>1707</v>
      </c>
    </row>
    <row r="20" spans="1:6" ht="15" customHeight="1" x14ac:dyDescent="0.25">
      <c r="A20" s="2" t="s">
        <v>19</v>
      </c>
      <c r="B20" s="3">
        <v>7.0000000000000007E-2</v>
      </c>
      <c r="C20" s="2">
        <v>563</v>
      </c>
      <c r="D20" s="2">
        <v>558</v>
      </c>
      <c r="E20" s="2">
        <v>555</v>
      </c>
      <c r="F20" s="2">
        <v>1676</v>
      </c>
    </row>
    <row r="21" spans="1:6" ht="15" customHeight="1" x14ac:dyDescent="0.25">
      <c r="A21" s="2" t="s">
        <v>20</v>
      </c>
      <c r="B21" s="3">
        <v>0.9</v>
      </c>
      <c r="C21" s="2">
        <v>468</v>
      </c>
      <c r="D21" s="2">
        <v>467</v>
      </c>
      <c r="E21" s="2">
        <v>455</v>
      </c>
      <c r="F21" s="2">
        <v>1390</v>
      </c>
    </row>
    <row r="22" spans="1:6" ht="15" customHeight="1" x14ac:dyDescent="0.25">
      <c r="A22" s="2" t="s">
        <v>21</v>
      </c>
      <c r="B22" s="3">
        <v>0.69</v>
      </c>
      <c r="C22" s="2">
        <v>500</v>
      </c>
      <c r="D22" s="2">
        <v>502</v>
      </c>
      <c r="E22" s="2">
        <v>495</v>
      </c>
      <c r="F22" s="2">
        <v>1497</v>
      </c>
    </row>
    <row r="23" spans="1:6" ht="15" customHeight="1" x14ac:dyDescent="0.25">
      <c r="A23" s="2" t="s">
        <v>22</v>
      </c>
      <c r="B23" s="3">
        <v>0.84</v>
      </c>
      <c r="C23" s="2">
        <v>514</v>
      </c>
      <c r="D23" s="2">
        <v>523</v>
      </c>
      <c r="E23" s="2">
        <v>510</v>
      </c>
      <c r="F23" s="2">
        <v>1547</v>
      </c>
    </row>
    <row r="24" spans="1:6" ht="15" customHeight="1" x14ac:dyDescent="0.25">
      <c r="A24" s="2" t="s">
        <v>23</v>
      </c>
      <c r="B24" s="3">
        <v>0.05</v>
      </c>
      <c r="C24" s="2">
        <v>584</v>
      </c>
      <c r="D24" s="2">
        <v>603</v>
      </c>
      <c r="E24" s="2">
        <v>575</v>
      </c>
      <c r="F24" s="2">
        <v>1762</v>
      </c>
    </row>
    <row r="25" spans="1:6" ht="15" customHeight="1" x14ac:dyDescent="0.25">
      <c r="A25" s="2" t="s">
        <v>24</v>
      </c>
      <c r="B25" s="3">
        <v>7.0000000000000007E-2</v>
      </c>
      <c r="C25" s="2">
        <v>595</v>
      </c>
      <c r="D25" s="2">
        <v>609</v>
      </c>
      <c r="E25" s="2">
        <v>578</v>
      </c>
      <c r="F25" s="2">
        <v>1782</v>
      </c>
    </row>
    <row r="26" spans="1:6" ht="15" customHeight="1" x14ac:dyDescent="0.25">
      <c r="A26" s="2" t="s">
        <v>25</v>
      </c>
      <c r="B26" s="3">
        <v>0.04</v>
      </c>
      <c r="C26" s="2">
        <v>567</v>
      </c>
      <c r="D26" s="2">
        <v>554</v>
      </c>
      <c r="E26" s="2">
        <v>559</v>
      </c>
      <c r="F26" s="2">
        <v>1680</v>
      </c>
    </row>
    <row r="27" spans="1:6" ht="15" customHeight="1" x14ac:dyDescent="0.25">
      <c r="A27" s="2" t="s">
        <v>26</v>
      </c>
      <c r="B27" s="3">
        <v>0.05</v>
      </c>
      <c r="C27" s="2">
        <v>595</v>
      </c>
      <c r="D27" s="2">
        <v>600</v>
      </c>
      <c r="E27" s="2">
        <v>584</v>
      </c>
      <c r="F27" s="2">
        <v>1779</v>
      </c>
    </row>
    <row r="28" spans="1:6" ht="15" customHeight="1" x14ac:dyDescent="0.25">
      <c r="A28" s="2" t="s">
        <v>27</v>
      </c>
      <c r="B28" s="3">
        <v>0.22</v>
      </c>
      <c r="C28" s="2">
        <v>541</v>
      </c>
      <c r="D28" s="2">
        <v>542</v>
      </c>
      <c r="E28" s="2">
        <v>519</v>
      </c>
      <c r="F28" s="2">
        <v>1602</v>
      </c>
    </row>
    <row r="29" spans="1:6" ht="15" customHeight="1" x14ac:dyDescent="0.25">
      <c r="A29" s="2" t="s">
        <v>28</v>
      </c>
      <c r="B29" s="3">
        <v>0.04</v>
      </c>
      <c r="C29" s="2">
        <v>587</v>
      </c>
      <c r="D29" s="2">
        <v>594</v>
      </c>
      <c r="E29" s="2">
        <v>572</v>
      </c>
      <c r="F29" s="2">
        <v>1753</v>
      </c>
    </row>
    <row r="30" spans="1:6" ht="15" customHeight="1" x14ac:dyDescent="0.25">
      <c r="A30" s="2" t="s">
        <v>29</v>
      </c>
      <c r="B30" s="3">
        <v>0.42</v>
      </c>
      <c r="C30" s="2">
        <v>501</v>
      </c>
      <c r="D30" s="2">
        <v>505</v>
      </c>
      <c r="E30" s="2">
        <v>479</v>
      </c>
      <c r="F30" s="2">
        <v>1485</v>
      </c>
    </row>
    <row r="31" spans="1:6" ht="15" customHeight="1" x14ac:dyDescent="0.25">
      <c r="A31" s="2" t="s">
        <v>30</v>
      </c>
      <c r="B31" s="3">
        <v>0.75</v>
      </c>
      <c r="C31" s="2">
        <v>523</v>
      </c>
      <c r="D31" s="2">
        <v>523</v>
      </c>
      <c r="E31" s="2">
        <v>510</v>
      </c>
      <c r="F31" s="2">
        <v>1556</v>
      </c>
    </row>
    <row r="32" spans="1:6" ht="15" customHeight="1" x14ac:dyDescent="0.25">
      <c r="A32" s="2" t="s">
        <v>31</v>
      </c>
      <c r="B32" s="3">
        <v>0.76</v>
      </c>
      <c r="C32" s="2">
        <v>496</v>
      </c>
      <c r="D32" s="2">
        <v>513</v>
      </c>
      <c r="E32" s="2">
        <v>496</v>
      </c>
      <c r="F32" s="2">
        <v>1505</v>
      </c>
    </row>
    <row r="33" spans="1:6" ht="15" customHeight="1" x14ac:dyDescent="0.25">
      <c r="A33" s="2" t="s">
        <v>32</v>
      </c>
      <c r="B33" s="3">
        <v>0.11</v>
      </c>
      <c r="C33" s="2">
        <v>553</v>
      </c>
      <c r="D33" s="2">
        <v>546</v>
      </c>
      <c r="E33" s="2">
        <v>534</v>
      </c>
      <c r="F33" s="2">
        <v>1633</v>
      </c>
    </row>
    <row r="34" spans="1:6" ht="15" customHeight="1" x14ac:dyDescent="0.25">
      <c r="A34" s="2" t="s">
        <v>33</v>
      </c>
      <c r="B34" s="3">
        <v>0.85</v>
      </c>
      <c r="C34" s="2">
        <v>485</v>
      </c>
      <c r="D34" s="2">
        <v>502</v>
      </c>
      <c r="E34" s="2">
        <v>478</v>
      </c>
      <c r="F34" s="2">
        <v>1465</v>
      </c>
    </row>
    <row r="35" spans="1:6" ht="15" customHeight="1" x14ac:dyDescent="0.25">
      <c r="A35" s="2" t="s">
        <v>34</v>
      </c>
      <c r="B35" s="3">
        <v>0.63</v>
      </c>
      <c r="C35" s="2">
        <v>495</v>
      </c>
      <c r="D35" s="2">
        <v>511</v>
      </c>
      <c r="E35" s="2">
        <v>480</v>
      </c>
      <c r="F35" s="2">
        <v>1486</v>
      </c>
    </row>
    <row r="36" spans="1:6" ht="15" customHeight="1" x14ac:dyDescent="0.25">
      <c r="A36" s="2" t="s">
        <v>35</v>
      </c>
      <c r="B36" s="3">
        <v>0.03</v>
      </c>
      <c r="C36" s="2">
        <v>590</v>
      </c>
      <c r="D36" s="2">
        <v>593</v>
      </c>
      <c r="E36" s="2">
        <v>566</v>
      </c>
      <c r="F36" s="2">
        <v>1749</v>
      </c>
    </row>
    <row r="37" spans="1:6" ht="15" customHeight="1" x14ac:dyDescent="0.25">
      <c r="A37" s="2" t="s">
        <v>36</v>
      </c>
      <c r="B37" s="3">
        <v>0.22</v>
      </c>
      <c r="C37" s="2">
        <v>537</v>
      </c>
      <c r="D37" s="2">
        <v>546</v>
      </c>
      <c r="E37" s="2">
        <v>523</v>
      </c>
      <c r="F37" s="2">
        <v>1606</v>
      </c>
    </row>
    <row r="38" spans="1:6" ht="15" customHeight="1" x14ac:dyDescent="0.25">
      <c r="A38" s="2" t="s">
        <v>37</v>
      </c>
      <c r="B38" s="3">
        <v>0.05</v>
      </c>
      <c r="C38" s="2">
        <v>575</v>
      </c>
      <c r="D38" s="2">
        <v>571</v>
      </c>
      <c r="E38" s="2">
        <v>557</v>
      </c>
      <c r="F38" s="2">
        <v>1703</v>
      </c>
    </row>
    <row r="39" spans="1:6" ht="15" customHeight="1" x14ac:dyDescent="0.25">
      <c r="A39" s="2" t="s">
        <v>38</v>
      </c>
      <c r="B39" s="3">
        <v>0.52</v>
      </c>
      <c r="C39" s="2">
        <v>523</v>
      </c>
      <c r="D39" s="2">
        <v>525</v>
      </c>
      <c r="E39" s="2">
        <v>499</v>
      </c>
      <c r="F39" s="2">
        <v>1547</v>
      </c>
    </row>
    <row r="40" spans="1:6" ht="15" customHeight="1" x14ac:dyDescent="0.25">
      <c r="A40" s="2" t="s">
        <v>39</v>
      </c>
      <c r="B40" s="3">
        <v>0.71</v>
      </c>
      <c r="C40" s="2">
        <v>493</v>
      </c>
      <c r="D40" s="2">
        <v>501</v>
      </c>
      <c r="E40" s="2">
        <v>483</v>
      </c>
      <c r="F40" s="2">
        <v>1477</v>
      </c>
    </row>
    <row r="41" spans="1:6" ht="15" customHeight="1" x14ac:dyDescent="0.25">
      <c r="A41" s="2" t="s">
        <v>40</v>
      </c>
      <c r="B41" s="3">
        <v>0.66</v>
      </c>
      <c r="C41" s="2">
        <v>498</v>
      </c>
      <c r="D41" s="2">
        <v>496</v>
      </c>
      <c r="E41" s="2">
        <v>494</v>
      </c>
      <c r="F41" s="2">
        <v>1488</v>
      </c>
    </row>
    <row r="42" spans="1:6" ht="15" customHeight="1" x14ac:dyDescent="0.25">
      <c r="A42" s="2" t="s">
        <v>41</v>
      </c>
      <c r="B42" s="3">
        <v>0.67</v>
      </c>
      <c r="C42" s="2">
        <v>486</v>
      </c>
      <c r="D42" s="2">
        <v>496</v>
      </c>
      <c r="E42" s="2">
        <v>470</v>
      </c>
      <c r="F42" s="2">
        <v>1452</v>
      </c>
    </row>
    <row r="43" spans="1:6" ht="15" customHeight="1" x14ac:dyDescent="0.25">
      <c r="A43" s="2" t="s">
        <v>42</v>
      </c>
      <c r="B43" s="3">
        <v>0.03</v>
      </c>
      <c r="C43" s="2">
        <v>589</v>
      </c>
      <c r="D43" s="2">
        <v>600</v>
      </c>
      <c r="E43" s="2">
        <v>569</v>
      </c>
      <c r="F43" s="2">
        <v>1758</v>
      </c>
    </row>
    <row r="44" spans="1:6" ht="15" customHeight="1" x14ac:dyDescent="0.25">
      <c r="A44" s="2" t="s">
        <v>43</v>
      </c>
      <c r="B44" s="3">
        <v>0.1</v>
      </c>
      <c r="C44" s="2">
        <v>571</v>
      </c>
      <c r="D44" s="2">
        <v>565</v>
      </c>
      <c r="E44" s="2">
        <v>565</v>
      </c>
      <c r="F44" s="2">
        <v>1701</v>
      </c>
    </row>
    <row r="45" spans="1:6" ht="15" customHeight="1" x14ac:dyDescent="0.25">
      <c r="A45" s="2" t="s">
        <v>44</v>
      </c>
      <c r="B45" s="3">
        <v>0.51</v>
      </c>
      <c r="C45" s="2">
        <v>486</v>
      </c>
      <c r="D45" s="2">
        <v>506</v>
      </c>
      <c r="E45" s="2">
        <v>475</v>
      </c>
      <c r="F45" s="2">
        <v>1467</v>
      </c>
    </row>
    <row r="46" spans="1:6" ht="15" customHeight="1" x14ac:dyDescent="0.25">
      <c r="A46" s="2" t="s">
        <v>45</v>
      </c>
      <c r="B46" s="3">
        <v>0.06</v>
      </c>
      <c r="C46" s="2">
        <v>559</v>
      </c>
      <c r="D46" s="2">
        <v>558</v>
      </c>
      <c r="E46" s="2">
        <v>540</v>
      </c>
      <c r="F46" s="2">
        <v>1657</v>
      </c>
    </row>
    <row r="47" spans="1:6" ht="15" customHeight="1" x14ac:dyDescent="0.25">
      <c r="A47" s="2" t="s">
        <v>46</v>
      </c>
      <c r="B47" s="3">
        <v>0.64</v>
      </c>
      <c r="C47" s="2">
        <v>518</v>
      </c>
      <c r="D47" s="2">
        <v>518</v>
      </c>
      <c r="E47" s="2">
        <v>506</v>
      </c>
      <c r="F47" s="2">
        <v>1542</v>
      </c>
    </row>
    <row r="48" spans="1:6" ht="15" customHeight="1" x14ac:dyDescent="0.25">
      <c r="A48" s="2" t="s">
        <v>47</v>
      </c>
      <c r="B48" s="3">
        <v>0.68</v>
      </c>
      <c r="C48" s="2">
        <v>511</v>
      </c>
      <c r="D48" s="2">
        <v>512</v>
      </c>
      <c r="E48" s="2">
        <v>498</v>
      </c>
      <c r="F48" s="2">
        <v>1521</v>
      </c>
    </row>
    <row r="49" spans="1:6" ht="15" customHeight="1" x14ac:dyDescent="0.25">
      <c r="A49" s="2" t="s">
        <v>48</v>
      </c>
      <c r="B49" s="3">
        <v>0.53</v>
      </c>
      <c r="C49" s="2">
        <v>524</v>
      </c>
      <c r="D49" s="2">
        <v>531</v>
      </c>
      <c r="E49" s="2">
        <v>507</v>
      </c>
      <c r="F49" s="2">
        <v>1562</v>
      </c>
    </row>
    <row r="50" spans="1:6" ht="15" customHeight="1" x14ac:dyDescent="0.25">
      <c r="A50" s="2" t="s">
        <v>49</v>
      </c>
      <c r="B50" s="3">
        <v>0.18</v>
      </c>
      <c r="C50" s="2">
        <v>511</v>
      </c>
      <c r="D50" s="2">
        <v>501</v>
      </c>
      <c r="E50" s="2">
        <v>499</v>
      </c>
      <c r="F50" s="2">
        <v>1511</v>
      </c>
    </row>
    <row r="51" spans="1:6" ht="15" customHeight="1" x14ac:dyDescent="0.25">
      <c r="A51" s="2" t="s">
        <v>50</v>
      </c>
      <c r="B51" s="3">
        <v>0.05</v>
      </c>
      <c r="C51" s="2">
        <v>594</v>
      </c>
      <c r="D51" s="2">
        <v>608</v>
      </c>
      <c r="E51" s="2">
        <v>582</v>
      </c>
      <c r="F51" s="2">
        <v>1784</v>
      </c>
    </row>
    <row r="52" spans="1:6" ht="15" customHeight="1" x14ac:dyDescent="0.25">
      <c r="A52" s="2" t="s">
        <v>51</v>
      </c>
      <c r="B52" s="3">
        <v>0.05</v>
      </c>
      <c r="C52" s="2">
        <v>567</v>
      </c>
      <c r="D52" s="2">
        <v>568</v>
      </c>
      <c r="E52" s="2">
        <v>550</v>
      </c>
      <c r="F52" s="2">
        <v>1685</v>
      </c>
    </row>
  </sheetData>
  <sortState ref="A2:F52">
    <sortCondition ref="A1"/>
  </sortState>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workbookViewId="0"/>
  </sheetViews>
  <sheetFormatPr defaultColWidth="30.7109375" defaultRowHeight="15" x14ac:dyDescent="0.25"/>
  <cols>
    <col min="1" max="1" width="30.7109375" style="7"/>
    <col min="2" max="16384" width="30.7109375" style="6"/>
  </cols>
  <sheetData>
    <row r="1" spans="1:20" x14ac:dyDescent="0.25">
      <c r="A1" s="7" t="s">
        <v>66</v>
      </c>
      <c r="B1" s="6" t="s">
        <v>67</v>
      </c>
      <c r="C1" s="6" t="s">
        <v>57</v>
      </c>
      <c r="D1" s="6">
        <v>5</v>
      </c>
      <c r="E1" s="6" t="s">
        <v>58</v>
      </c>
      <c r="F1" s="6">
        <v>5</v>
      </c>
      <c r="G1" s="6" t="s">
        <v>59</v>
      </c>
      <c r="H1" s="6">
        <v>0</v>
      </c>
      <c r="I1" s="6" t="s">
        <v>60</v>
      </c>
      <c r="J1" s="6">
        <v>1</v>
      </c>
      <c r="K1" s="6" t="s">
        <v>61</v>
      </c>
      <c r="L1" s="6">
        <v>0</v>
      </c>
      <c r="M1" s="6" t="s">
        <v>62</v>
      </c>
      <c r="N1" s="6">
        <v>0</v>
      </c>
      <c r="O1" s="6" t="s">
        <v>63</v>
      </c>
      <c r="P1" s="6">
        <v>1</v>
      </c>
      <c r="Q1" s="6" t="s">
        <v>64</v>
      </c>
      <c r="R1" s="6">
        <v>0</v>
      </c>
      <c r="S1" s="6" t="s">
        <v>65</v>
      </c>
      <c r="T1" s="6">
        <v>0</v>
      </c>
    </row>
    <row r="2" spans="1:20" x14ac:dyDescent="0.25">
      <c r="A2" s="7" t="s">
        <v>68</v>
      </c>
      <c r="B2" s="6" t="s">
        <v>69</v>
      </c>
    </row>
    <row r="3" spans="1:20" x14ac:dyDescent="0.25">
      <c r="A3" s="7" t="s">
        <v>70</v>
      </c>
      <c r="B3" s="6" t="b">
        <f>IF(B10&gt;256,"TripUpST110AndEarlier",FALSE)</f>
        <v>0</v>
      </c>
    </row>
    <row r="4" spans="1:20" x14ac:dyDescent="0.25">
      <c r="A4" s="7" t="s">
        <v>71</v>
      </c>
      <c r="B4" s="6" t="s">
        <v>72</v>
      </c>
    </row>
    <row r="5" spans="1:20" x14ac:dyDescent="0.25">
      <c r="A5" s="7" t="s">
        <v>73</v>
      </c>
      <c r="B5" s="6" t="b">
        <v>1</v>
      </c>
    </row>
    <row r="6" spans="1:20" x14ac:dyDescent="0.25">
      <c r="A6" s="7" t="s">
        <v>74</v>
      </c>
      <c r="B6" s="6" t="b">
        <v>1</v>
      </c>
    </row>
    <row r="7" spans="1:20" x14ac:dyDescent="0.25">
      <c r="A7" s="7" t="s">
        <v>75</v>
      </c>
      <c r="B7" s="6">
        <f>Data!$A$1:$F$52</f>
        <v>0.2</v>
      </c>
    </row>
    <row r="8" spans="1:20" x14ac:dyDescent="0.25">
      <c r="A8" s="7" t="s">
        <v>76</v>
      </c>
      <c r="B8" s="6">
        <v>1</v>
      </c>
    </row>
    <row r="9" spans="1:20" x14ac:dyDescent="0.25">
      <c r="A9" s="7" t="s">
        <v>77</v>
      </c>
      <c r="B9" s="6">
        <f>1</f>
        <v>1</v>
      </c>
    </row>
    <row r="10" spans="1:20" x14ac:dyDescent="0.25">
      <c r="A10" s="7" t="s">
        <v>78</v>
      </c>
      <c r="B10" s="6">
        <v>6</v>
      </c>
    </row>
    <row r="12" spans="1:20" x14ac:dyDescent="0.25">
      <c r="A12" s="7" t="s">
        <v>79</v>
      </c>
      <c r="B12" s="6" t="s">
        <v>80</v>
      </c>
      <c r="C12" s="6" t="s">
        <v>81</v>
      </c>
      <c r="D12" s="6" t="s">
        <v>82</v>
      </c>
      <c r="E12" s="6" t="b">
        <v>1</v>
      </c>
      <c r="F12" s="6">
        <v>0</v>
      </c>
      <c r="G12" s="6">
        <v>4</v>
      </c>
    </row>
    <row r="13" spans="1:20" x14ac:dyDescent="0.25">
      <c r="A13" s="7" t="s">
        <v>83</v>
      </c>
      <c r="B13" s="6" t="str">
        <f>Data!$A$1:$A$52</f>
        <v>Hawaii</v>
      </c>
    </row>
    <row r="14" spans="1:20" x14ac:dyDescent="0.25">
      <c r="A14" s="7" t="s">
        <v>84</v>
      </c>
    </row>
    <row r="15" spans="1:20" x14ac:dyDescent="0.25">
      <c r="A15" s="7" t="s">
        <v>85</v>
      </c>
      <c r="B15" s="6" t="s">
        <v>86</v>
      </c>
      <c r="C15" s="6" t="s">
        <v>87</v>
      </c>
      <c r="D15" s="6" t="s">
        <v>88</v>
      </c>
      <c r="E15" s="6" t="b">
        <v>1</v>
      </c>
      <c r="F15" s="6">
        <v>0</v>
      </c>
      <c r="G15" s="6">
        <v>4</v>
      </c>
    </row>
    <row r="16" spans="1:20" x14ac:dyDescent="0.25">
      <c r="A16" s="7" t="s">
        <v>89</v>
      </c>
      <c r="B16" s="6">
        <f>Data!$B$1:$B$52</f>
        <v>0.63</v>
      </c>
    </row>
    <row r="17" spans="1:7" x14ac:dyDescent="0.25">
      <c r="A17" s="7" t="s">
        <v>90</v>
      </c>
    </row>
    <row r="18" spans="1:7" x14ac:dyDescent="0.25">
      <c r="A18" s="7" t="s">
        <v>91</v>
      </c>
      <c r="B18" s="6" t="s">
        <v>92</v>
      </c>
      <c r="C18" s="6" t="s">
        <v>93</v>
      </c>
      <c r="D18" s="6" t="s">
        <v>94</v>
      </c>
      <c r="E18" s="6" t="b">
        <v>1</v>
      </c>
      <c r="F18" s="6">
        <v>0</v>
      </c>
      <c r="G18" s="6">
        <v>4</v>
      </c>
    </row>
    <row r="19" spans="1:7" x14ac:dyDescent="0.25">
      <c r="A19" s="7" t="s">
        <v>95</v>
      </c>
      <c r="B19" s="6">
        <f>Data!$C$1:$C$52</f>
        <v>573</v>
      </c>
    </row>
    <row r="20" spans="1:7" x14ac:dyDescent="0.25">
      <c r="A20" s="7" t="s">
        <v>96</v>
      </c>
    </row>
    <row r="21" spans="1:7" x14ac:dyDescent="0.25">
      <c r="A21" s="7" t="s">
        <v>97</v>
      </c>
      <c r="B21" s="6" t="s">
        <v>98</v>
      </c>
      <c r="C21" s="6" t="s">
        <v>99</v>
      </c>
      <c r="D21" s="6" t="s">
        <v>100</v>
      </c>
      <c r="E21" s="6" t="b">
        <v>1</v>
      </c>
      <c r="F21" s="6">
        <v>0</v>
      </c>
      <c r="G21" s="6">
        <v>4</v>
      </c>
    </row>
    <row r="22" spans="1:7" x14ac:dyDescent="0.25">
      <c r="A22" s="7" t="s">
        <v>101</v>
      </c>
      <c r="B22" s="6">
        <f>Data!$D$1:$D$52</f>
        <v>502</v>
      </c>
    </row>
    <row r="23" spans="1:7" x14ac:dyDescent="0.25">
      <c r="A23" s="7" t="s">
        <v>102</v>
      </c>
    </row>
    <row r="24" spans="1:7" x14ac:dyDescent="0.25">
      <c r="A24" s="7" t="s">
        <v>103</v>
      </c>
      <c r="B24" s="6" t="s">
        <v>104</v>
      </c>
      <c r="C24" s="6" t="s">
        <v>105</v>
      </c>
      <c r="D24" s="6" t="s">
        <v>106</v>
      </c>
      <c r="E24" s="6" t="b">
        <v>1</v>
      </c>
      <c r="F24" s="6">
        <v>0</v>
      </c>
      <c r="G24" s="6">
        <v>4</v>
      </c>
    </row>
    <row r="25" spans="1:7" x14ac:dyDescent="0.25">
      <c r="A25" s="7" t="s">
        <v>107</v>
      </c>
      <c r="B25" s="6">
        <f>Data!$E$1:$E$52</f>
        <v>578</v>
      </c>
    </row>
    <row r="26" spans="1:7" x14ac:dyDescent="0.25">
      <c r="A26" s="7" t="s">
        <v>108</v>
      </c>
    </row>
    <row r="27" spans="1:7" x14ac:dyDescent="0.25">
      <c r="A27" s="7" t="s">
        <v>109</v>
      </c>
      <c r="B27" s="6" t="s">
        <v>110</v>
      </c>
      <c r="C27" s="6" t="s">
        <v>111</v>
      </c>
      <c r="D27" s="6" t="s">
        <v>112</v>
      </c>
      <c r="E27" s="6" t="b">
        <v>1</v>
      </c>
      <c r="F27" s="6">
        <v>0</v>
      </c>
      <c r="G27" s="6">
        <v>4</v>
      </c>
    </row>
    <row r="28" spans="1:7" x14ac:dyDescent="0.25">
      <c r="A28" s="7" t="s">
        <v>113</v>
      </c>
      <c r="B28" s="6">
        <f>Data!$F$1:$F$52</f>
        <v>1602</v>
      </c>
    </row>
    <row r="29" spans="1:7" x14ac:dyDescent="0.25">
      <c r="A29" s="7" t="s">
        <v>114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39"/>
  <sheetViews>
    <sheetView showGridLines="0" workbookViewId="0"/>
  </sheetViews>
  <sheetFormatPr defaultColWidth="12.7109375" defaultRowHeight="15" customHeight="1" x14ac:dyDescent="0.25"/>
  <cols>
    <col min="1" max="7" width="12.7109375" customWidth="1"/>
    <col min="11" max="17" width="12.7109375" customWidth="1"/>
  </cols>
  <sheetData>
    <row r="1" spans="1:17" s="8" customFormat="1" ht="18.75" x14ac:dyDescent="0.3">
      <c r="A1" s="10" t="s">
        <v>115</v>
      </c>
      <c r="B1" s="13" t="s">
        <v>116</v>
      </c>
    </row>
    <row r="2" spans="1:17" s="8" customFormat="1" ht="11.25" x14ac:dyDescent="0.2">
      <c r="A2" s="11" t="s">
        <v>117</v>
      </c>
      <c r="B2" s="13" t="s">
        <v>118</v>
      </c>
    </row>
    <row r="3" spans="1:17" s="8" customFormat="1" ht="11.25" x14ac:dyDescent="0.2">
      <c r="A3" s="11" t="s">
        <v>119</v>
      </c>
      <c r="B3" s="13" t="s">
        <v>120</v>
      </c>
    </row>
    <row r="4" spans="1:17" s="8" customFormat="1" ht="11.25" x14ac:dyDescent="0.2">
      <c r="A4" s="11" t="s">
        <v>121</v>
      </c>
      <c r="B4" s="13" t="s">
        <v>153</v>
      </c>
    </row>
    <row r="5" spans="1:17" s="9" customFormat="1" ht="11.25" x14ac:dyDescent="0.2">
      <c r="A5" s="12" t="s">
        <v>122</v>
      </c>
      <c r="B5" s="14" t="s">
        <v>123</v>
      </c>
    </row>
    <row r="7" spans="1:17" ht="15" customHeight="1" x14ac:dyDescent="0.25">
      <c r="A7" s="18"/>
      <c r="B7" s="30" t="s">
        <v>130</v>
      </c>
      <c r="C7" s="30"/>
      <c r="D7" s="30"/>
      <c r="E7" s="30"/>
      <c r="F7" s="30"/>
      <c r="G7" s="30"/>
      <c r="K7" s="18"/>
      <c r="L7" s="30" t="s">
        <v>130</v>
      </c>
      <c r="M7" s="30"/>
      <c r="N7" s="30"/>
      <c r="O7" s="30"/>
      <c r="P7" s="30"/>
      <c r="Q7" s="30"/>
    </row>
    <row r="8" spans="1:17" ht="15" customHeight="1" thickBot="1" x14ac:dyDescent="0.3">
      <c r="A8" s="19" t="s">
        <v>118</v>
      </c>
      <c r="B8" s="16" t="s">
        <v>124</v>
      </c>
      <c r="C8" s="16" t="s">
        <v>125</v>
      </c>
      <c r="D8" s="16" t="s">
        <v>126</v>
      </c>
      <c r="E8" s="16" t="s">
        <v>127</v>
      </c>
      <c r="F8" s="16" t="s">
        <v>128</v>
      </c>
      <c r="G8" s="16" t="s">
        <v>129</v>
      </c>
      <c r="K8" s="19" t="s">
        <v>118</v>
      </c>
      <c r="L8" s="16" t="s">
        <v>124</v>
      </c>
      <c r="M8" s="16" t="s">
        <v>125</v>
      </c>
      <c r="N8" s="16" t="s">
        <v>126</v>
      </c>
      <c r="O8" s="16" t="s">
        <v>127</v>
      </c>
      <c r="P8" s="16" t="s">
        <v>128</v>
      </c>
      <c r="Q8" s="16" t="s">
        <v>129</v>
      </c>
    </row>
    <row r="9" spans="1:17" ht="15" customHeight="1" thickTop="1" x14ac:dyDescent="0.25">
      <c r="A9" s="17" t="s">
        <v>131</v>
      </c>
      <c r="B9" s="20">
        <v>0.03</v>
      </c>
      <c r="C9" s="20">
        <v>0.15428570999999999</v>
      </c>
      <c r="D9" s="20">
        <f t="shared" ref="D9:D15" si="0">(B9+C9)/2</f>
        <v>9.2142854999999996E-2</v>
      </c>
      <c r="E9" s="15">
        <f>_xll.StatCountRange(ST_PercentTaking,B9,C9,TRUE, TRUE)</f>
        <v>20</v>
      </c>
      <c r="F9" s="20">
        <f>E9/_xll.StatCount(ST_PercentTaking)</f>
        <v>0.39215686274509803</v>
      </c>
      <c r="G9" s="21">
        <f t="shared" ref="G9:G15" si="1">F9/(C9-B9)</f>
        <v>3.1552852113497041</v>
      </c>
      <c r="K9" s="17" t="s">
        <v>131</v>
      </c>
      <c r="L9" s="20">
        <v>0.03</v>
      </c>
      <c r="M9" s="20">
        <v>0.20399999999999999</v>
      </c>
      <c r="N9" s="20">
        <f>(L9+M9)/2</f>
        <v>0.11699999999999999</v>
      </c>
      <c r="O9" s="15">
        <f>_xll.StatCountRange([0]!ST_PercentTaking,L9,M9,TRUE, TRUE)</f>
        <v>23</v>
      </c>
      <c r="P9" s="20">
        <f>O9/_xll.StatCount([0]!ST_PercentTaking)</f>
        <v>0.45098039215686275</v>
      </c>
      <c r="Q9" s="21">
        <f>P9/(M9-L9)</f>
        <v>2.5918413342348434</v>
      </c>
    </row>
    <row r="10" spans="1:17" ht="15" customHeight="1" x14ac:dyDescent="0.25">
      <c r="A10" s="17" t="s">
        <v>132</v>
      </c>
      <c r="B10" s="20">
        <v>0.15428570999999999</v>
      </c>
      <c r="C10" s="20">
        <v>0.27857143000000001</v>
      </c>
      <c r="D10" s="20">
        <f t="shared" si="0"/>
        <v>0.21642856999999999</v>
      </c>
      <c r="E10" s="15">
        <f>_xll.StatCountRange(ST_PercentTaking,B10,C10,FALSE, TRUE)</f>
        <v>6</v>
      </c>
      <c r="F10" s="20">
        <f>E10/_xll.StatCount(ST_PercentTaking)</f>
        <v>0.11764705882352941</v>
      </c>
      <c r="G10" s="21">
        <f t="shared" si="1"/>
        <v>0.94658548724285774</v>
      </c>
      <c r="K10" s="17" t="s">
        <v>132</v>
      </c>
      <c r="L10" s="20">
        <v>0.20399999999999999</v>
      </c>
      <c r="M10" s="20">
        <v>0.378</v>
      </c>
      <c r="N10" s="20">
        <f>(L10+M10)/2</f>
        <v>0.29099999999999998</v>
      </c>
      <c r="O10" s="15">
        <f>_xll.StatCountRange([0]!ST_PercentTaking,L10,M10,FALSE, TRUE)</f>
        <v>3</v>
      </c>
      <c r="P10" s="20">
        <f>O10/_xll.StatCount([0]!ST_PercentTaking)</f>
        <v>5.8823529411764705E-2</v>
      </c>
      <c r="Q10" s="21">
        <f>P10/(M10-L10)</f>
        <v>0.33806626098715342</v>
      </c>
    </row>
    <row r="11" spans="1:17" ht="15" customHeight="1" x14ac:dyDescent="0.25">
      <c r="A11" s="17" t="s">
        <v>133</v>
      </c>
      <c r="B11" s="20">
        <v>0.27857143000000001</v>
      </c>
      <c r="C11" s="20">
        <v>0.40285714</v>
      </c>
      <c r="D11" s="20">
        <f t="shared" si="0"/>
        <v>0.34071428500000001</v>
      </c>
      <c r="E11" s="15">
        <f>_xll.StatCountRange(ST_PercentTaking,B11,C11,FALSE, TRUE)</f>
        <v>0</v>
      </c>
      <c r="F11" s="20">
        <f>E11/_xll.StatCount(ST_PercentTaking)</f>
        <v>0</v>
      </c>
      <c r="G11" s="21">
        <f t="shared" si="1"/>
        <v>0</v>
      </c>
      <c r="K11" s="17" t="s">
        <v>133</v>
      </c>
      <c r="L11" s="20">
        <v>0.378</v>
      </c>
      <c r="M11" s="20">
        <v>0.55200000000000005</v>
      </c>
      <c r="N11" s="20">
        <f>(L11+M11)/2</f>
        <v>0.46500000000000002</v>
      </c>
      <c r="O11" s="15">
        <f>_xll.StatCountRange([0]!ST_PercentTaking,L11,M11,FALSE, TRUE)</f>
        <v>6</v>
      </c>
      <c r="P11" s="20">
        <f>O11/_xll.StatCount([0]!ST_PercentTaking)</f>
        <v>0.11764705882352941</v>
      </c>
      <c r="Q11" s="21">
        <f>P11/(M11-L11)</f>
        <v>0.67613252197430673</v>
      </c>
    </row>
    <row r="12" spans="1:17" ht="15" customHeight="1" x14ac:dyDescent="0.25">
      <c r="A12" s="17" t="s">
        <v>134</v>
      </c>
      <c r="B12" s="20">
        <v>0.40285714</v>
      </c>
      <c r="C12" s="20">
        <v>0.52714285999999999</v>
      </c>
      <c r="D12" s="20">
        <f t="shared" si="0"/>
        <v>0.46499999999999997</v>
      </c>
      <c r="E12" s="15">
        <f>_xll.StatCountRange(ST_PercentTaking,B12,C12,FALSE, TRUE)</f>
        <v>5</v>
      </c>
      <c r="F12" s="20">
        <f>E12/_xll.StatCount(ST_PercentTaking)</f>
        <v>9.8039215686274508E-2</v>
      </c>
      <c r="G12" s="21">
        <f t="shared" si="1"/>
        <v>0.78882123936904835</v>
      </c>
      <c r="K12" s="17" t="s">
        <v>134</v>
      </c>
      <c r="L12" s="20">
        <v>0.55200000000000005</v>
      </c>
      <c r="M12" s="20">
        <v>0.72599999999999998</v>
      </c>
      <c r="N12" s="20">
        <f>(L12+M12)/2</f>
        <v>0.63900000000000001</v>
      </c>
      <c r="O12" s="15">
        <f>_xll.StatCountRange([0]!ST_PercentTaking,L12,M12,FALSE, TRUE)</f>
        <v>12</v>
      </c>
      <c r="P12" s="20">
        <f>O12/_xll.StatCount([0]!ST_PercentTaking)</f>
        <v>0.23529411764705882</v>
      </c>
      <c r="Q12" s="21">
        <f>P12/(M12-L12)</f>
        <v>1.3522650439486144</v>
      </c>
    </row>
    <row r="13" spans="1:17" ht="15" customHeight="1" x14ac:dyDescent="0.25">
      <c r="A13" s="17" t="s">
        <v>135</v>
      </c>
      <c r="B13" s="20">
        <v>0.52714285999999999</v>
      </c>
      <c r="C13" s="20">
        <v>0.65142856999999998</v>
      </c>
      <c r="D13" s="20">
        <f t="shared" si="0"/>
        <v>0.58928571499999993</v>
      </c>
      <c r="E13" s="15">
        <f>_xll.StatCountRange(ST_PercentTaking,B13,C13,FALSE, TRUE)</f>
        <v>6</v>
      </c>
      <c r="F13" s="20">
        <f>E13/_xll.StatCount(ST_PercentTaking)</f>
        <v>0.11764705882352941</v>
      </c>
      <c r="G13" s="21">
        <f t="shared" si="1"/>
        <v>0.94658556340491129</v>
      </c>
      <c r="K13" s="17" t="s">
        <v>135</v>
      </c>
      <c r="L13" s="20">
        <v>0.72599999999999998</v>
      </c>
      <c r="M13" s="20">
        <v>0.9</v>
      </c>
      <c r="N13" s="20">
        <f>(L13+M13)/2</f>
        <v>0.81299999999999994</v>
      </c>
      <c r="O13" s="15">
        <f>_xll.StatCountRange([0]!ST_PercentTaking,L13,M13,FALSE, TRUE)</f>
        <v>7</v>
      </c>
      <c r="P13" s="20">
        <f>O13/_xll.StatCount([0]!ST_PercentTaking)</f>
        <v>0.13725490196078433</v>
      </c>
      <c r="Q13" s="21">
        <f>P13/(M13-L13)</f>
        <v>0.78882127563669135</v>
      </c>
    </row>
    <row r="14" spans="1:17" ht="15" customHeight="1" x14ac:dyDescent="0.25">
      <c r="A14" s="17" t="s">
        <v>136</v>
      </c>
      <c r="B14" s="20">
        <v>0.65142856999999998</v>
      </c>
      <c r="C14" s="20">
        <v>0.77571429000000003</v>
      </c>
      <c r="D14" s="20">
        <f t="shared" si="0"/>
        <v>0.71357143000000001</v>
      </c>
      <c r="E14" s="15">
        <f>_xll.StatCountRange(ST_PercentTaking,B14,C14,FALSE, TRUE)</f>
        <v>9</v>
      </c>
      <c r="F14" s="20">
        <f>E14/_xll.StatCount(ST_PercentTaking)</f>
        <v>0.17647058823529413</v>
      </c>
      <c r="G14" s="21">
        <f t="shared" si="1"/>
        <v>1.4198782308642866</v>
      </c>
    </row>
    <row r="15" spans="1:17" ht="15" customHeight="1" x14ac:dyDescent="0.25">
      <c r="A15" s="17" t="s">
        <v>137</v>
      </c>
      <c r="B15" s="20">
        <v>0.77571429000000003</v>
      </c>
      <c r="C15" s="20">
        <v>0.9</v>
      </c>
      <c r="D15" s="20">
        <f t="shared" si="0"/>
        <v>0.83785714500000008</v>
      </c>
      <c r="E15" s="15">
        <f>_xll.StatCountRange(ST_PercentTaking,B15,C15,FALSE, TRUE)</f>
        <v>5</v>
      </c>
      <c r="F15" s="20">
        <f>E15/_xll.StatCount(ST_PercentTaking)</f>
        <v>9.8039215686274508E-2</v>
      </c>
      <c r="G15" s="21">
        <f t="shared" si="1"/>
        <v>0.78882130283742602</v>
      </c>
    </row>
    <row r="36" spans="1:17" ht="15" customHeight="1" x14ac:dyDescent="0.25">
      <c r="K36" s="18"/>
      <c r="L36" s="30" t="s">
        <v>138</v>
      </c>
      <c r="M36" s="30"/>
      <c r="N36" s="30"/>
      <c r="O36" s="30"/>
      <c r="P36" s="30"/>
      <c r="Q36" s="30"/>
    </row>
    <row r="37" spans="1:17" ht="15" customHeight="1" thickBot="1" x14ac:dyDescent="0.3">
      <c r="K37" s="19" t="s">
        <v>118</v>
      </c>
      <c r="L37" s="16" t="s">
        <v>124</v>
      </c>
      <c r="M37" s="16" t="s">
        <v>125</v>
      </c>
      <c r="N37" s="16" t="s">
        <v>126</v>
      </c>
      <c r="O37" s="16" t="s">
        <v>127</v>
      </c>
      <c r="P37" s="16" t="s">
        <v>128</v>
      </c>
      <c r="Q37" s="16" t="s">
        <v>129</v>
      </c>
    </row>
    <row r="38" spans="1:17" ht="15" customHeight="1" thickTop="1" x14ac:dyDescent="0.25">
      <c r="A38" s="18"/>
      <c r="B38" s="30" t="s">
        <v>138</v>
      </c>
      <c r="C38" s="30"/>
      <c r="D38" s="30"/>
      <c r="E38" s="30"/>
      <c r="F38" s="30"/>
      <c r="G38" s="30"/>
      <c r="K38" s="17" t="s">
        <v>131</v>
      </c>
      <c r="L38" s="21">
        <v>466</v>
      </c>
      <c r="M38" s="21">
        <v>494.8</v>
      </c>
      <c r="N38" s="21">
        <f>(L38+M38)/2</f>
        <v>480.4</v>
      </c>
      <c r="O38" s="15">
        <f>_xll.StatCountRange([0]!ST_CriticalReading,L38,M38,TRUE, TRUE)</f>
        <v>8</v>
      </c>
      <c r="P38" s="20">
        <f>O38/_xll.StatCount([0]!ST_CriticalReading)</f>
        <v>0.15686274509803921</v>
      </c>
      <c r="Q38" s="20">
        <f>P38/(M38-L38)</f>
        <v>5.4466230936819149E-3</v>
      </c>
    </row>
    <row r="39" spans="1:17" ht="15" customHeight="1" thickBot="1" x14ac:dyDescent="0.3">
      <c r="A39" s="19" t="s">
        <v>118</v>
      </c>
      <c r="B39" s="16" t="s">
        <v>124</v>
      </c>
      <c r="C39" s="16" t="s">
        <v>125</v>
      </c>
      <c r="D39" s="16" t="s">
        <v>126</v>
      </c>
      <c r="E39" s="16" t="s">
        <v>127</v>
      </c>
      <c r="F39" s="16" t="s">
        <v>128</v>
      </c>
      <c r="G39" s="16" t="s">
        <v>129</v>
      </c>
      <c r="K39" s="17" t="s">
        <v>132</v>
      </c>
      <c r="L39" s="21">
        <v>494.8</v>
      </c>
      <c r="M39" s="21">
        <v>523.6</v>
      </c>
      <c r="N39" s="21">
        <f>(L39+M39)/2</f>
        <v>509.20000000000005</v>
      </c>
      <c r="O39" s="15">
        <f>_xll.StatCountRange([0]!ST_CriticalReading,L39,M39,FALSE, TRUE)</f>
        <v>18</v>
      </c>
      <c r="P39" s="20">
        <f>O39/_xll.StatCount([0]!ST_CriticalReading)</f>
        <v>0.35294117647058826</v>
      </c>
      <c r="Q39" s="20">
        <f>P39/(M39-L39)</f>
        <v>1.225490196078431E-2</v>
      </c>
    </row>
    <row r="40" spans="1:17" ht="15" customHeight="1" thickTop="1" x14ac:dyDescent="0.25">
      <c r="A40" s="17" t="s">
        <v>131</v>
      </c>
      <c r="B40" s="21">
        <v>466</v>
      </c>
      <c r="C40" s="21">
        <v>486.57142857000002</v>
      </c>
      <c r="D40" s="21">
        <f t="shared" ref="D40:D46" si="2">(B40+C40)/2</f>
        <v>476.28571428500004</v>
      </c>
      <c r="E40" s="15">
        <f>_xll.StatCountRange(ST_CriticalReading,B40,C40,TRUE, TRUE)</f>
        <v>6</v>
      </c>
      <c r="F40" s="20">
        <f>E40/_xll.StatCount(ST_CriticalReading)</f>
        <v>0.11764705882352941</v>
      </c>
      <c r="G40" s="20">
        <f t="shared" ref="G40:G46" si="3">F40/(C40-B40)</f>
        <v>5.718954248763156E-3</v>
      </c>
      <c r="K40" s="17" t="s">
        <v>133</v>
      </c>
      <c r="L40" s="21">
        <v>523.6</v>
      </c>
      <c r="M40" s="21">
        <v>552.4</v>
      </c>
      <c r="N40" s="21">
        <f>(L40+M40)/2</f>
        <v>538</v>
      </c>
      <c r="O40" s="15">
        <f>_xll.StatCountRange([0]!ST_CriticalReading,L40,M40,FALSE, TRUE)</f>
        <v>4</v>
      </c>
      <c r="P40" s="20">
        <f>O40/_xll.StatCount([0]!ST_CriticalReading)</f>
        <v>7.8431372549019607E-2</v>
      </c>
      <c r="Q40" s="20">
        <f>P40/(M40-L40)</f>
        <v>2.7233115468409627E-3</v>
      </c>
    </row>
    <row r="41" spans="1:17" ht="15" customHeight="1" x14ac:dyDescent="0.25">
      <c r="A41" s="17" t="s">
        <v>132</v>
      </c>
      <c r="B41" s="21">
        <v>486.57142857000002</v>
      </c>
      <c r="C41" s="21">
        <v>507.14285713999999</v>
      </c>
      <c r="D41" s="21">
        <f t="shared" si="2"/>
        <v>496.85714285500001</v>
      </c>
      <c r="E41" s="15">
        <f>_xll.StatCountRange(ST_CriticalReading,B41,C41,FALSE, TRUE)</f>
        <v>11</v>
      </c>
      <c r="F41" s="20">
        <f>E41/_xll.StatCount(ST_CriticalReading)</f>
        <v>0.21568627450980393</v>
      </c>
      <c r="G41" s="20">
        <f t="shared" si="3"/>
        <v>1.0484749456065815E-2</v>
      </c>
      <c r="K41" s="17" t="s">
        <v>134</v>
      </c>
      <c r="L41" s="21">
        <v>552.4</v>
      </c>
      <c r="M41" s="21">
        <v>581.20000000000005</v>
      </c>
      <c r="N41" s="21">
        <f>(L41+M41)/2</f>
        <v>566.79999999999995</v>
      </c>
      <c r="O41" s="15">
        <f>_xll.StatCountRange([0]!ST_CriticalReading,L41,M41,FALSE, TRUE)</f>
        <v>12</v>
      </c>
      <c r="P41" s="20">
        <f>O41/_xll.StatCount([0]!ST_CriticalReading)</f>
        <v>0.23529411764705882</v>
      </c>
      <c r="Q41" s="20">
        <f>P41/(M41-L41)</f>
        <v>8.1699346405228572E-3</v>
      </c>
    </row>
    <row r="42" spans="1:17" ht="15" customHeight="1" x14ac:dyDescent="0.25">
      <c r="A42" s="17" t="s">
        <v>133</v>
      </c>
      <c r="B42" s="21">
        <v>507.14285713999999</v>
      </c>
      <c r="C42" s="21">
        <v>527.71428571000001</v>
      </c>
      <c r="D42" s="21">
        <f t="shared" si="2"/>
        <v>517.42857142499997</v>
      </c>
      <c r="E42" s="15">
        <f>_xll.StatCountRange(ST_CriticalReading,B42,C42,FALSE, TRUE)</f>
        <v>10</v>
      </c>
      <c r="F42" s="20">
        <f>E42/_xll.StatCount(ST_CriticalReading)</f>
        <v>0.19607843137254902</v>
      </c>
      <c r="G42" s="20">
        <f t="shared" si="3"/>
        <v>9.5315904146052611E-3</v>
      </c>
      <c r="K42" s="17" t="s">
        <v>135</v>
      </c>
      <c r="L42" s="21">
        <v>581.20000000000005</v>
      </c>
      <c r="M42" s="21">
        <v>610</v>
      </c>
      <c r="N42" s="21">
        <f>(L42+M42)/2</f>
        <v>595.6</v>
      </c>
      <c r="O42" s="15">
        <f>_xll.StatCountRange([0]!ST_CriticalReading,L42,M42,FALSE, TRUE)</f>
        <v>9</v>
      </c>
      <c r="P42" s="20">
        <f>O42/_xll.StatCount([0]!ST_CriticalReading)</f>
        <v>0.17647058823529413</v>
      </c>
      <c r="Q42" s="20">
        <f>P42/(M42-L42)</f>
        <v>6.1274509803921672E-3</v>
      </c>
    </row>
    <row r="43" spans="1:17" ht="15" customHeight="1" x14ac:dyDescent="0.25">
      <c r="A43" s="17" t="s">
        <v>134</v>
      </c>
      <c r="B43" s="21">
        <v>527.71428571000001</v>
      </c>
      <c r="C43" s="21">
        <v>548.28571428999999</v>
      </c>
      <c r="D43" s="21">
        <f t="shared" si="2"/>
        <v>538</v>
      </c>
      <c r="E43" s="15">
        <f>_xll.StatCountRange(ST_CriticalReading,B43,C43,FALSE, TRUE)</f>
        <v>3</v>
      </c>
      <c r="F43" s="20">
        <f>E43/_xll.StatCount(ST_CriticalReading)</f>
        <v>5.8823529411764705E-2</v>
      </c>
      <c r="G43" s="20">
        <f t="shared" si="3"/>
        <v>2.8594771229915614E-3</v>
      </c>
    </row>
    <row r="44" spans="1:17" ht="15" customHeight="1" x14ac:dyDescent="0.25">
      <c r="A44" s="17" t="s">
        <v>135</v>
      </c>
      <c r="B44" s="21">
        <v>548.28571428999999</v>
      </c>
      <c r="C44" s="21">
        <v>568.85714285999995</v>
      </c>
      <c r="D44" s="21">
        <f t="shared" si="2"/>
        <v>558.57142857500003</v>
      </c>
      <c r="E44" s="15">
        <f>_xll.StatCountRange(ST_CriticalReading,B44,C44,FALSE, TRUE)</f>
        <v>7</v>
      </c>
      <c r="F44" s="20">
        <f>E44/_xll.StatCount(ST_CriticalReading)</f>
        <v>0.13725490196078433</v>
      </c>
      <c r="G44" s="20">
        <f t="shared" si="3"/>
        <v>6.6721132902237013E-3</v>
      </c>
    </row>
    <row r="45" spans="1:17" ht="15" customHeight="1" x14ac:dyDescent="0.25">
      <c r="A45" s="17" t="s">
        <v>136</v>
      </c>
      <c r="B45" s="21">
        <v>568.85714285999995</v>
      </c>
      <c r="C45" s="21">
        <v>589.42857143000003</v>
      </c>
      <c r="D45" s="21">
        <f t="shared" si="2"/>
        <v>579.14285714499999</v>
      </c>
      <c r="E45" s="15">
        <f>_xll.StatCountRange(ST_CriticalReading,B45,C45,FALSE, TRUE)</f>
        <v>9</v>
      </c>
      <c r="F45" s="20">
        <f>E45/_xll.StatCount(ST_CriticalReading)</f>
        <v>0.17647058823529413</v>
      </c>
      <c r="G45" s="20">
        <f t="shared" si="3"/>
        <v>8.5784313731447105E-3</v>
      </c>
    </row>
    <row r="46" spans="1:17" ht="15" customHeight="1" x14ac:dyDescent="0.25">
      <c r="A46" s="17" t="s">
        <v>137</v>
      </c>
      <c r="B46" s="21">
        <v>589.42857143000003</v>
      </c>
      <c r="C46" s="21">
        <v>610</v>
      </c>
      <c r="D46" s="21">
        <f t="shared" si="2"/>
        <v>599.71428571499996</v>
      </c>
      <c r="E46" s="15">
        <f>_xll.StatCountRange(ST_CriticalReading,B46,C46,FALSE, TRUE)</f>
        <v>5</v>
      </c>
      <c r="F46" s="20">
        <f>E46/_xll.StatCount(ST_CriticalReading)</f>
        <v>9.8039215686274508E-2</v>
      </c>
      <c r="G46" s="20">
        <f t="shared" si="3"/>
        <v>4.7657952073026436E-3</v>
      </c>
    </row>
    <row r="65" spans="1:17" ht="15" customHeight="1" x14ac:dyDescent="0.25">
      <c r="K65" s="18"/>
      <c r="L65" s="30" t="s">
        <v>139</v>
      </c>
      <c r="M65" s="30"/>
      <c r="N65" s="30"/>
      <c r="O65" s="30"/>
      <c r="P65" s="30"/>
      <c r="Q65" s="30"/>
    </row>
    <row r="66" spans="1:17" ht="15" customHeight="1" thickBot="1" x14ac:dyDescent="0.3">
      <c r="K66" s="19" t="s">
        <v>118</v>
      </c>
      <c r="L66" s="16" t="s">
        <v>124</v>
      </c>
      <c r="M66" s="16" t="s">
        <v>125</v>
      </c>
      <c r="N66" s="16" t="s">
        <v>126</v>
      </c>
      <c r="O66" s="16" t="s">
        <v>127</v>
      </c>
      <c r="P66" s="16" t="s">
        <v>128</v>
      </c>
      <c r="Q66" s="16" t="s">
        <v>129</v>
      </c>
    </row>
    <row r="67" spans="1:17" ht="15" customHeight="1" thickTop="1" x14ac:dyDescent="0.25">
      <c r="K67" s="17" t="s">
        <v>131</v>
      </c>
      <c r="L67" s="21">
        <v>451</v>
      </c>
      <c r="M67" s="21">
        <v>483.8</v>
      </c>
      <c r="N67" s="21">
        <f>(L67+M67)/2</f>
        <v>467.4</v>
      </c>
      <c r="O67" s="15">
        <f>_xll.StatCountRange([0]!ST_Math,L67,M67,TRUE, TRUE)</f>
        <v>2</v>
      </c>
      <c r="P67" s="20">
        <f>O67/_xll.StatCount([0]!ST_Math)</f>
        <v>3.9215686274509803E-2</v>
      </c>
      <c r="Q67" s="20">
        <f>P67/(M67-L67)</f>
        <v>1.1956001912960302E-3</v>
      </c>
    </row>
    <row r="68" spans="1:17" ht="15" customHeight="1" x14ac:dyDescent="0.25">
      <c r="K68" s="17" t="s">
        <v>132</v>
      </c>
      <c r="L68" s="21">
        <v>483.8</v>
      </c>
      <c r="M68" s="21">
        <v>516.6</v>
      </c>
      <c r="N68" s="21">
        <f>(L68+M68)/2</f>
        <v>500.20000000000005</v>
      </c>
      <c r="O68" s="15">
        <f>_xll.StatCountRange([0]!ST_Math,L68,M68,FALSE, TRUE)</f>
        <v>19</v>
      </c>
      <c r="P68" s="20">
        <f>O68/_xll.StatCount([0]!ST_Math)</f>
        <v>0.37254901960784315</v>
      </c>
      <c r="Q68" s="20">
        <f>P68/(M68-L68)</f>
        <v>1.1358201817312287E-2</v>
      </c>
    </row>
    <row r="69" spans="1:17" ht="15" customHeight="1" x14ac:dyDescent="0.25">
      <c r="A69" s="18"/>
      <c r="B69" s="30" t="s">
        <v>139</v>
      </c>
      <c r="C69" s="30"/>
      <c r="D69" s="30"/>
      <c r="E69" s="30"/>
      <c r="F69" s="30"/>
      <c r="G69" s="30"/>
      <c r="K69" s="17" t="s">
        <v>133</v>
      </c>
      <c r="L69" s="21">
        <v>516.6</v>
      </c>
      <c r="M69" s="21">
        <v>549.4</v>
      </c>
      <c r="N69" s="21">
        <f>(L69+M69)/2</f>
        <v>533</v>
      </c>
      <c r="O69" s="15">
        <f>_xll.StatCountRange([0]!ST_Math,L69,M69,FALSE, TRUE)</f>
        <v>10</v>
      </c>
      <c r="P69" s="20">
        <f>O69/_xll.StatCount([0]!ST_Math)</f>
        <v>0.19607843137254902</v>
      </c>
      <c r="Q69" s="20">
        <f>P69/(M69-L69)</f>
        <v>5.9780009564801614E-3</v>
      </c>
    </row>
    <row r="70" spans="1:17" ht="15" customHeight="1" thickBot="1" x14ac:dyDescent="0.3">
      <c r="A70" s="19" t="s">
        <v>118</v>
      </c>
      <c r="B70" s="16" t="s">
        <v>124</v>
      </c>
      <c r="C70" s="16" t="s">
        <v>125</v>
      </c>
      <c r="D70" s="16" t="s">
        <v>126</v>
      </c>
      <c r="E70" s="16" t="s">
        <v>127</v>
      </c>
      <c r="F70" s="16" t="s">
        <v>128</v>
      </c>
      <c r="G70" s="16" t="s">
        <v>129</v>
      </c>
      <c r="K70" s="17" t="s">
        <v>134</v>
      </c>
      <c r="L70" s="21">
        <v>549.4</v>
      </c>
      <c r="M70" s="21">
        <v>582.20000000000005</v>
      </c>
      <c r="N70" s="21">
        <f>(L70+M70)/2</f>
        <v>565.79999999999995</v>
      </c>
      <c r="O70" s="15">
        <f>_xll.StatCountRange([0]!ST_Math,L70,M70,FALSE, TRUE)</f>
        <v>10</v>
      </c>
      <c r="P70" s="20">
        <f>O70/_xll.StatCount([0]!ST_Math)</f>
        <v>0.19607843137254902</v>
      </c>
      <c r="Q70" s="20">
        <f>P70/(M70-L70)</f>
        <v>5.9780009564801406E-3</v>
      </c>
    </row>
    <row r="71" spans="1:17" ht="15" customHeight="1" thickTop="1" x14ac:dyDescent="0.25">
      <c r="A71" s="17" t="s">
        <v>131</v>
      </c>
      <c r="B71" s="21">
        <v>451</v>
      </c>
      <c r="C71" s="21">
        <v>474.42857142999998</v>
      </c>
      <c r="D71" s="21">
        <f t="shared" ref="D71:D77" si="4">(B71+C71)/2</f>
        <v>462.71428571499996</v>
      </c>
      <c r="E71" s="15">
        <f>_xll.StatCountRange(ST_Math,B71,C71,TRUE, TRUE)</f>
        <v>2</v>
      </c>
      <c r="F71" s="20">
        <f>E71/_xll.StatCount(ST_Math)</f>
        <v>3.9215686274509803E-2</v>
      </c>
      <c r="G71" s="20">
        <f t="shared" ref="G71:G77" si="5">F71/(C71-B71)</f>
        <v>1.6738402677123811E-3</v>
      </c>
      <c r="K71" s="17" t="s">
        <v>135</v>
      </c>
      <c r="L71" s="21">
        <v>582.20000000000005</v>
      </c>
      <c r="M71" s="21">
        <v>615</v>
      </c>
      <c r="N71" s="21">
        <f>(L71+M71)/2</f>
        <v>598.6</v>
      </c>
      <c r="O71" s="15">
        <f>_xll.StatCountRange([0]!ST_Math,L71,M71,FALSE, TRUE)</f>
        <v>10</v>
      </c>
      <c r="P71" s="20">
        <f>O71/_xll.StatCount([0]!ST_Math)</f>
        <v>0.19607843137254902</v>
      </c>
      <c r="Q71" s="20">
        <f>P71/(M71-L71)</f>
        <v>5.9780009564801614E-3</v>
      </c>
    </row>
    <row r="72" spans="1:17" ht="15" customHeight="1" x14ac:dyDescent="0.25">
      <c r="A72" s="17" t="s">
        <v>132</v>
      </c>
      <c r="B72" s="21">
        <v>474.42857142999998</v>
      </c>
      <c r="C72" s="21">
        <v>497.85714286000001</v>
      </c>
      <c r="D72" s="21">
        <f t="shared" si="4"/>
        <v>486.14285714499999</v>
      </c>
      <c r="E72" s="15">
        <f>_xll.StatCountRange(ST_Math,B72,C72,FALSE, TRUE)</f>
        <v>3</v>
      </c>
      <c r="F72" s="20">
        <f>E72/_xll.StatCount(ST_Math)</f>
        <v>5.8823529411764705E-2</v>
      </c>
      <c r="G72" s="20">
        <f t="shared" si="5"/>
        <v>2.5107604015685656E-3</v>
      </c>
    </row>
    <row r="73" spans="1:17" ht="15" customHeight="1" x14ac:dyDescent="0.25">
      <c r="A73" s="17" t="s">
        <v>133</v>
      </c>
      <c r="B73" s="21">
        <v>497.85714286000001</v>
      </c>
      <c r="C73" s="21">
        <v>521.28571428999999</v>
      </c>
      <c r="D73" s="21">
        <f t="shared" si="4"/>
        <v>509.57142857500003</v>
      </c>
      <c r="E73" s="15">
        <f>_xll.StatCountRange(ST_Math,B73,C73,FALSE, TRUE)</f>
        <v>18</v>
      </c>
      <c r="F73" s="20">
        <f>E73/_xll.StatCount(ST_Math)</f>
        <v>0.35294117647058826</v>
      </c>
      <c r="G73" s="20">
        <f t="shared" si="5"/>
        <v>1.506456240941143E-2</v>
      </c>
    </row>
    <row r="74" spans="1:17" ht="15" customHeight="1" x14ac:dyDescent="0.25">
      <c r="A74" s="17" t="s">
        <v>134</v>
      </c>
      <c r="B74" s="21">
        <v>521.28571428999999</v>
      </c>
      <c r="C74" s="21">
        <v>544.71428571000001</v>
      </c>
      <c r="D74" s="21">
        <f t="shared" si="4"/>
        <v>533</v>
      </c>
      <c r="E74" s="15">
        <f>_xll.StatCountRange(ST_Math,B74,C74,FALSE, TRUE)</f>
        <v>6</v>
      </c>
      <c r="F74" s="20">
        <f>E74/_xll.StatCount(ST_Math)</f>
        <v>0.11764705882352941</v>
      </c>
      <c r="G74" s="20">
        <f t="shared" si="5"/>
        <v>5.0215208052804645E-3</v>
      </c>
    </row>
    <row r="75" spans="1:17" ht="15" customHeight="1" x14ac:dyDescent="0.25">
      <c r="A75" s="17" t="s">
        <v>135</v>
      </c>
      <c r="B75" s="21">
        <v>544.71428571000001</v>
      </c>
      <c r="C75" s="21">
        <v>568.14285714000005</v>
      </c>
      <c r="D75" s="21">
        <f t="shared" si="4"/>
        <v>556.42857142499997</v>
      </c>
      <c r="E75" s="15">
        <f>_xll.StatCountRange(ST_Math,B75,C75,FALSE, TRUE)</f>
        <v>8</v>
      </c>
      <c r="F75" s="20">
        <f>E75/_xll.StatCount(ST_Math)</f>
        <v>0.15686274509803921</v>
      </c>
      <c r="G75" s="20">
        <f t="shared" si="5"/>
        <v>6.6953610708495081E-3</v>
      </c>
    </row>
    <row r="76" spans="1:17" ht="15" customHeight="1" x14ac:dyDescent="0.25">
      <c r="A76" s="17" t="s">
        <v>136</v>
      </c>
      <c r="B76" s="21">
        <v>568.14285714000005</v>
      </c>
      <c r="C76" s="21">
        <v>591.57142856999997</v>
      </c>
      <c r="D76" s="21">
        <f t="shared" si="4"/>
        <v>579.85714285500001</v>
      </c>
      <c r="E76" s="15">
        <f>_xll.StatCountRange(ST_Math,B76,C76,FALSE, TRUE)</f>
        <v>5</v>
      </c>
      <c r="F76" s="20">
        <f>E76/_xll.StatCount(ST_Math)</f>
        <v>9.8039215686274508E-2</v>
      </c>
      <c r="G76" s="20">
        <f t="shared" si="5"/>
        <v>4.1846006692809624E-3</v>
      </c>
    </row>
    <row r="77" spans="1:17" ht="15" customHeight="1" x14ac:dyDescent="0.25">
      <c r="A77" s="17" t="s">
        <v>137</v>
      </c>
      <c r="B77" s="21">
        <v>591.57142856999997</v>
      </c>
      <c r="C77" s="21">
        <v>615</v>
      </c>
      <c r="D77" s="21">
        <f t="shared" si="4"/>
        <v>603.28571428500004</v>
      </c>
      <c r="E77" s="15">
        <f>_xll.StatCountRange(ST_Math,B77,C77,FALSE, TRUE)</f>
        <v>9</v>
      </c>
      <c r="F77" s="20">
        <f>E77/_xll.StatCount(ST_Math)</f>
        <v>0.17647058823529413</v>
      </c>
      <c r="G77" s="20">
        <f t="shared" si="5"/>
        <v>7.5322812047056969E-3</v>
      </c>
    </row>
    <row r="94" spans="11:17" ht="15" customHeight="1" x14ac:dyDescent="0.25">
      <c r="K94" s="18"/>
      <c r="L94" s="30" t="s">
        <v>140</v>
      </c>
      <c r="M94" s="30"/>
      <c r="N94" s="30"/>
      <c r="O94" s="30"/>
      <c r="P94" s="30"/>
      <c r="Q94" s="30"/>
    </row>
    <row r="95" spans="11:17" ht="15" customHeight="1" thickBot="1" x14ac:dyDescent="0.3">
      <c r="K95" s="19" t="s">
        <v>118</v>
      </c>
      <c r="L95" s="16" t="s">
        <v>124</v>
      </c>
      <c r="M95" s="16" t="s">
        <v>125</v>
      </c>
      <c r="N95" s="16" t="s">
        <v>126</v>
      </c>
      <c r="O95" s="16" t="s">
        <v>127</v>
      </c>
      <c r="P95" s="16" t="s">
        <v>128</v>
      </c>
      <c r="Q95" s="16" t="s">
        <v>129</v>
      </c>
    </row>
    <row r="96" spans="11:17" ht="15" customHeight="1" thickTop="1" x14ac:dyDescent="0.25">
      <c r="K96" s="17" t="s">
        <v>131</v>
      </c>
      <c r="L96" s="21">
        <v>455</v>
      </c>
      <c r="M96" s="21">
        <v>481.6</v>
      </c>
      <c r="N96" s="21">
        <f>(L96+M96)/2</f>
        <v>468.3</v>
      </c>
      <c r="O96" s="15">
        <f>_xll.StatCountRange([0]!ST_Writing,L96,M96,TRUE, TRUE)</f>
        <v>11</v>
      </c>
      <c r="P96" s="20">
        <f>O96/_xll.StatCount([0]!ST_Writing)</f>
        <v>0.21568627450980393</v>
      </c>
      <c r="Q96" s="20">
        <f>P96/(M96-L96)</f>
        <v>8.1085065605189383E-3</v>
      </c>
    </row>
    <row r="97" spans="1:17" ht="15" customHeight="1" x14ac:dyDescent="0.25">
      <c r="K97" s="17" t="s">
        <v>132</v>
      </c>
      <c r="L97" s="21">
        <v>481.6</v>
      </c>
      <c r="M97" s="21">
        <v>508.2</v>
      </c>
      <c r="N97" s="21">
        <f>(L97+M97)/2</f>
        <v>494.9</v>
      </c>
      <c r="O97" s="15">
        <f>_xll.StatCountRange([0]!ST_Writing,L97,M97,FALSE, TRUE)</f>
        <v>13</v>
      </c>
      <c r="P97" s="20">
        <f>O97/_xll.StatCount([0]!ST_Writing)</f>
        <v>0.25490196078431371</v>
      </c>
      <c r="Q97" s="20">
        <f>P97/(M97-L97)</f>
        <v>9.5827804806133104E-3</v>
      </c>
    </row>
    <row r="98" spans="1:17" ht="15" customHeight="1" x14ac:dyDescent="0.25">
      <c r="K98" s="17" t="s">
        <v>133</v>
      </c>
      <c r="L98" s="21">
        <v>508.2</v>
      </c>
      <c r="M98" s="21">
        <v>534.79999999999995</v>
      </c>
      <c r="N98" s="21">
        <f>(L98+M98)/2</f>
        <v>521.5</v>
      </c>
      <c r="O98" s="15">
        <f>_xll.StatCountRange([0]!ST_Writing,L98,M98,FALSE, TRUE)</f>
        <v>7</v>
      </c>
      <c r="P98" s="20">
        <f>O98/_xll.StatCount([0]!ST_Writing)</f>
        <v>0.13725490196078433</v>
      </c>
      <c r="Q98" s="20">
        <f>P98/(M98-L98)</f>
        <v>5.1599587203302443E-3</v>
      </c>
    </row>
    <row r="99" spans="1:17" ht="15" customHeight="1" x14ac:dyDescent="0.25">
      <c r="K99" s="17" t="s">
        <v>134</v>
      </c>
      <c r="L99" s="21">
        <v>534.79999999999995</v>
      </c>
      <c r="M99" s="21">
        <v>561.4</v>
      </c>
      <c r="N99" s="21">
        <f>(L99+M99)/2</f>
        <v>548.09999999999991</v>
      </c>
      <c r="O99" s="15">
        <f>_xll.StatCountRange([0]!ST_Writing,L99,M99,FALSE, TRUE)</f>
        <v>9</v>
      </c>
      <c r="P99" s="20">
        <f>O99/_xll.StatCount([0]!ST_Writing)</f>
        <v>0.17647058823529413</v>
      </c>
      <c r="Q99" s="20">
        <f>P99/(M99-L99)</f>
        <v>6.6342326404245852E-3</v>
      </c>
    </row>
    <row r="100" spans="1:17" ht="15" customHeight="1" x14ac:dyDescent="0.25">
      <c r="A100" s="18"/>
      <c r="B100" s="30" t="s">
        <v>140</v>
      </c>
      <c r="C100" s="30"/>
      <c r="D100" s="30"/>
      <c r="E100" s="30"/>
      <c r="F100" s="30"/>
      <c r="G100" s="30"/>
      <c r="K100" s="17" t="s">
        <v>135</v>
      </c>
      <c r="L100" s="21">
        <v>561.4</v>
      </c>
      <c r="M100" s="21">
        <v>588</v>
      </c>
      <c r="N100" s="21">
        <f>(L100+M100)/2</f>
        <v>574.70000000000005</v>
      </c>
      <c r="O100" s="15">
        <f>_xll.StatCountRange([0]!ST_Writing,L100,M100,FALSE, TRUE)</f>
        <v>11</v>
      </c>
      <c r="P100" s="20">
        <f>O100/_xll.StatCount([0]!ST_Writing)</f>
        <v>0.21568627450980393</v>
      </c>
      <c r="Q100" s="20">
        <f>P100/(M100-L100)</f>
        <v>8.1085065605189383E-3</v>
      </c>
    </row>
    <row r="101" spans="1:17" ht="15" customHeight="1" thickBot="1" x14ac:dyDescent="0.3">
      <c r="A101" s="19" t="s">
        <v>118</v>
      </c>
      <c r="B101" s="16" t="s">
        <v>124</v>
      </c>
      <c r="C101" s="16" t="s">
        <v>125</v>
      </c>
      <c r="D101" s="16" t="s">
        <v>126</v>
      </c>
      <c r="E101" s="16" t="s">
        <v>127</v>
      </c>
      <c r="F101" s="16" t="s">
        <v>128</v>
      </c>
      <c r="G101" s="16" t="s">
        <v>129</v>
      </c>
    </row>
    <row r="102" spans="1:17" ht="15" customHeight="1" thickTop="1" x14ac:dyDescent="0.25">
      <c r="A102" s="17" t="s">
        <v>131</v>
      </c>
      <c r="B102" s="21">
        <v>455</v>
      </c>
      <c r="C102" s="21">
        <v>474</v>
      </c>
      <c r="D102" s="21">
        <f t="shared" ref="D102:D108" si="6">(B102+C102)/2</f>
        <v>464.5</v>
      </c>
      <c r="E102" s="15">
        <f>_xll.StatCountRange(ST_Writing,B102,C102,TRUE, TRUE)</f>
        <v>4</v>
      </c>
      <c r="F102" s="20">
        <f>E102/_xll.StatCount(ST_Writing)</f>
        <v>7.8431372549019607E-2</v>
      </c>
      <c r="G102" s="20">
        <f t="shared" ref="G102:G108" si="7">F102/(C102-B102)</f>
        <v>4.1279669762641896E-3</v>
      </c>
    </row>
    <row r="103" spans="1:17" ht="15" customHeight="1" x14ac:dyDescent="0.25">
      <c r="A103" s="17" t="s">
        <v>132</v>
      </c>
      <c r="B103" s="21">
        <v>474</v>
      </c>
      <c r="C103" s="21">
        <v>493</v>
      </c>
      <c r="D103" s="21">
        <f t="shared" si="6"/>
        <v>483.5</v>
      </c>
      <c r="E103" s="15">
        <f>_xll.StatCountRange(ST_Writing,B103,C103,FALSE, TRUE)</f>
        <v>10</v>
      </c>
      <c r="F103" s="20">
        <f>E103/_xll.StatCount(ST_Writing)</f>
        <v>0.19607843137254902</v>
      </c>
      <c r="G103" s="20">
        <f t="shared" si="7"/>
        <v>1.0319917440660475E-2</v>
      </c>
    </row>
    <row r="104" spans="1:17" ht="15" customHeight="1" x14ac:dyDescent="0.25">
      <c r="A104" s="17" t="s">
        <v>133</v>
      </c>
      <c r="B104" s="21">
        <v>493</v>
      </c>
      <c r="C104" s="21">
        <v>512</v>
      </c>
      <c r="D104" s="21">
        <f t="shared" si="6"/>
        <v>502.5</v>
      </c>
      <c r="E104" s="15">
        <f>_xll.StatCountRange(ST_Writing,B104,C104,FALSE, TRUE)</f>
        <v>13</v>
      </c>
      <c r="F104" s="20">
        <f>E104/_xll.StatCount(ST_Writing)</f>
        <v>0.25490196078431371</v>
      </c>
      <c r="G104" s="20">
        <f t="shared" si="7"/>
        <v>1.3415892672858616E-2</v>
      </c>
    </row>
    <row r="105" spans="1:17" ht="15" customHeight="1" x14ac:dyDescent="0.25">
      <c r="A105" s="17" t="s">
        <v>134</v>
      </c>
      <c r="B105" s="21">
        <v>512</v>
      </c>
      <c r="C105" s="21">
        <v>531</v>
      </c>
      <c r="D105" s="21">
        <f t="shared" si="6"/>
        <v>521.5</v>
      </c>
      <c r="E105" s="15">
        <f>_xll.StatCountRange(ST_Writing,B105,C105,FALSE, TRUE)</f>
        <v>3</v>
      </c>
      <c r="F105" s="20">
        <f>E105/_xll.StatCount(ST_Writing)</f>
        <v>5.8823529411764705E-2</v>
      </c>
      <c r="G105" s="20">
        <f t="shared" si="7"/>
        <v>3.0959752321981422E-3</v>
      </c>
    </row>
    <row r="106" spans="1:17" ht="15" customHeight="1" x14ac:dyDescent="0.25">
      <c r="A106" s="17" t="s">
        <v>135</v>
      </c>
      <c r="B106" s="21">
        <v>531</v>
      </c>
      <c r="C106" s="21">
        <v>550</v>
      </c>
      <c r="D106" s="21">
        <f t="shared" si="6"/>
        <v>540.5</v>
      </c>
      <c r="E106" s="15">
        <f>_xll.StatCountRange(ST_Writing,B106,C106,FALSE, TRUE)</f>
        <v>4</v>
      </c>
      <c r="F106" s="20">
        <f>E106/_xll.StatCount(ST_Writing)</f>
        <v>7.8431372549019607E-2</v>
      </c>
      <c r="G106" s="20">
        <f t="shared" si="7"/>
        <v>4.1279669762641896E-3</v>
      </c>
    </row>
    <row r="107" spans="1:17" ht="15" customHeight="1" x14ac:dyDescent="0.25">
      <c r="A107" s="17" t="s">
        <v>136</v>
      </c>
      <c r="B107" s="21">
        <v>550</v>
      </c>
      <c r="C107" s="21">
        <v>569</v>
      </c>
      <c r="D107" s="21">
        <f t="shared" si="6"/>
        <v>559.5</v>
      </c>
      <c r="E107" s="15">
        <f>_xll.StatCountRange(ST_Writing,B107,C107,FALSE, TRUE)</f>
        <v>10</v>
      </c>
      <c r="F107" s="20">
        <f>E107/_xll.StatCount(ST_Writing)</f>
        <v>0.19607843137254902</v>
      </c>
      <c r="G107" s="20">
        <f t="shared" si="7"/>
        <v>1.0319917440660475E-2</v>
      </c>
    </row>
    <row r="108" spans="1:17" ht="15" customHeight="1" x14ac:dyDescent="0.25">
      <c r="A108" s="17" t="s">
        <v>137</v>
      </c>
      <c r="B108" s="21">
        <v>569</v>
      </c>
      <c r="C108" s="21">
        <v>588</v>
      </c>
      <c r="D108" s="21">
        <f t="shared" si="6"/>
        <v>578.5</v>
      </c>
      <c r="E108" s="15">
        <f>_xll.StatCountRange(ST_Writing,B108,C108,FALSE, TRUE)</f>
        <v>7</v>
      </c>
      <c r="F108" s="20">
        <f>E108/_xll.StatCount(ST_Writing)</f>
        <v>0.13725490196078433</v>
      </c>
      <c r="G108" s="20">
        <f t="shared" si="7"/>
        <v>7.223942208462333E-3</v>
      </c>
    </row>
    <row r="123" spans="11:17" ht="15" customHeight="1" x14ac:dyDescent="0.25">
      <c r="K123" s="18"/>
      <c r="L123" s="30" t="s">
        <v>141</v>
      </c>
      <c r="M123" s="30"/>
      <c r="N123" s="30"/>
      <c r="O123" s="30"/>
      <c r="P123" s="30"/>
      <c r="Q123" s="30"/>
    </row>
    <row r="124" spans="11:17" ht="15" customHeight="1" thickBot="1" x14ac:dyDescent="0.3">
      <c r="K124" s="19" t="s">
        <v>118</v>
      </c>
      <c r="L124" s="16" t="s">
        <v>124</v>
      </c>
      <c r="M124" s="16" t="s">
        <v>125</v>
      </c>
      <c r="N124" s="16" t="s">
        <v>126</v>
      </c>
      <c r="O124" s="16" t="s">
        <v>127</v>
      </c>
      <c r="P124" s="16" t="s">
        <v>128</v>
      </c>
      <c r="Q124" s="16" t="s">
        <v>129</v>
      </c>
    </row>
    <row r="125" spans="11:17" ht="15" customHeight="1" thickTop="1" x14ac:dyDescent="0.25">
      <c r="K125" s="17" t="s">
        <v>131</v>
      </c>
      <c r="L125" s="21">
        <v>1378</v>
      </c>
      <c r="M125" s="21">
        <v>1465</v>
      </c>
      <c r="N125" s="21">
        <f>(L125+M125)/2</f>
        <v>1421.5</v>
      </c>
      <c r="O125" s="15">
        <f>_xll.StatCountRange([0]!ST_Combined,L125,M125,TRUE, TRUE)</f>
        <v>6</v>
      </c>
      <c r="P125" s="20">
        <f>O125/_xll.StatCount([0]!ST_Combined)</f>
        <v>0.11764705882352941</v>
      </c>
      <c r="Q125" s="20">
        <f>P125/(M125-L125)</f>
        <v>1.3522650439486139E-3</v>
      </c>
    </row>
    <row r="126" spans="11:17" ht="15" customHeight="1" x14ac:dyDescent="0.25">
      <c r="K126" s="17" t="s">
        <v>132</v>
      </c>
      <c r="L126" s="21">
        <v>1465</v>
      </c>
      <c r="M126" s="21">
        <v>1552</v>
      </c>
      <c r="N126" s="21">
        <f>(L126+M126)/2</f>
        <v>1508.5</v>
      </c>
      <c r="O126" s="15">
        <f>_xll.StatCountRange([0]!ST_Combined,L126,M126,FALSE, TRUE)</f>
        <v>19</v>
      </c>
      <c r="P126" s="20">
        <f>O126/_xll.StatCount([0]!ST_Combined)</f>
        <v>0.37254901960784315</v>
      </c>
      <c r="Q126" s="20">
        <f>P126/(M126-L126)</f>
        <v>4.2821726391706113E-3</v>
      </c>
    </row>
    <row r="127" spans="11:17" ht="15" customHeight="1" x14ac:dyDescent="0.25">
      <c r="K127" s="17" t="s">
        <v>133</v>
      </c>
      <c r="L127" s="21">
        <v>1552</v>
      </c>
      <c r="M127" s="21">
        <v>1639</v>
      </c>
      <c r="N127" s="21">
        <f>(L127+M127)/2</f>
        <v>1595.5</v>
      </c>
      <c r="O127" s="15">
        <f>_xll.StatCountRange([0]!ST_Combined,L127,M127,FALSE, TRUE)</f>
        <v>6</v>
      </c>
      <c r="P127" s="20">
        <f>O127/_xll.StatCount([0]!ST_Combined)</f>
        <v>0.11764705882352941</v>
      </c>
      <c r="Q127" s="20">
        <f>P127/(M127-L127)</f>
        <v>1.3522650439486139E-3</v>
      </c>
    </row>
    <row r="128" spans="11:17" ht="15" customHeight="1" x14ac:dyDescent="0.25">
      <c r="K128" s="17" t="s">
        <v>134</v>
      </c>
      <c r="L128" s="21">
        <v>1639</v>
      </c>
      <c r="M128" s="21">
        <v>1726</v>
      </c>
      <c r="N128" s="21">
        <f>(L128+M128)/2</f>
        <v>1682.5</v>
      </c>
      <c r="O128" s="15">
        <f>_xll.StatCountRange([0]!ST_Combined,L128,M128,FALSE, TRUE)</f>
        <v>10</v>
      </c>
      <c r="P128" s="20">
        <f>O128/_xll.StatCount([0]!ST_Combined)</f>
        <v>0.19607843137254902</v>
      </c>
      <c r="Q128" s="20">
        <f>P128/(M128-L128)</f>
        <v>2.25377507324769E-3</v>
      </c>
    </row>
    <row r="129" spans="1:17" ht="15" customHeight="1" x14ac:dyDescent="0.25">
      <c r="K129" s="17" t="s">
        <v>135</v>
      </c>
      <c r="L129" s="21">
        <v>1726</v>
      </c>
      <c r="M129" s="21">
        <v>1813</v>
      </c>
      <c r="N129" s="21">
        <f>(L129+M129)/2</f>
        <v>1769.5</v>
      </c>
      <c r="O129" s="15">
        <f>_xll.StatCountRange([0]!ST_Combined,L129,M129,FALSE, TRUE)</f>
        <v>10</v>
      </c>
      <c r="P129" s="20">
        <f>O129/_xll.StatCount([0]!ST_Combined)</f>
        <v>0.19607843137254902</v>
      </c>
      <c r="Q129" s="20">
        <f>P129/(M129-L129)</f>
        <v>2.25377507324769E-3</v>
      </c>
    </row>
    <row r="131" spans="1:17" ht="15" customHeight="1" x14ac:dyDescent="0.25">
      <c r="A131" s="18"/>
      <c r="B131" s="30" t="s">
        <v>141</v>
      </c>
      <c r="C131" s="30"/>
      <c r="D131" s="30"/>
      <c r="E131" s="30"/>
      <c r="F131" s="30"/>
      <c r="G131" s="30"/>
    </row>
    <row r="132" spans="1:17" ht="15" customHeight="1" thickBot="1" x14ac:dyDescent="0.3">
      <c r="A132" s="19" t="s">
        <v>118</v>
      </c>
      <c r="B132" s="16" t="s">
        <v>124</v>
      </c>
      <c r="C132" s="16" t="s">
        <v>125</v>
      </c>
      <c r="D132" s="16" t="s">
        <v>126</v>
      </c>
      <c r="E132" s="16" t="s">
        <v>127</v>
      </c>
      <c r="F132" s="16" t="s">
        <v>128</v>
      </c>
      <c r="G132" s="16" t="s">
        <v>129</v>
      </c>
    </row>
    <row r="133" spans="1:17" ht="15" customHeight="1" thickTop="1" x14ac:dyDescent="0.25">
      <c r="A133" s="17" t="s">
        <v>131</v>
      </c>
      <c r="B133" s="21">
        <v>1378</v>
      </c>
      <c r="C133" s="21">
        <v>1440.1428571399999</v>
      </c>
      <c r="D133" s="21">
        <f t="shared" ref="D133:D139" si="8">(B133+C133)/2</f>
        <v>1409.0714285700001</v>
      </c>
      <c r="E133" s="15">
        <f>_xll.StatCountRange(ST_Combined,B133,C133,TRUE, TRUE)</f>
        <v>2</v>
      </c>
      <c r="F133" s="20">
        <f>E133/_xll.StatCount(ST_Combined)</f>
        <v>3.9215686274509803E-2</v>
      </c>
      <c r="G133" s="20">
        <f t="shared" ref="G133:G139" si="9">F133/(C133-B133)</f>
        <v>6.3105702053836796E-4</v>
      </c>
    </row>
    <row r="134" spans="1:17" ht="15" customHeight="1" x14ac:dyDescent="0.25">
      <c r="A134" s="17" t="s">
        <v>132</v>
      </c>
      <c r="B134" s="21">
        <v>1440.1428571399999</v>
      </c>
      <c r="C134" s="21">
        <v>1502.28571429</v>
      </c>
      <c r="D134" s="21">
        <f t="shared" si="8"/>
        <v>1471.214285715</v>
      </c>
      <c r="E134" s="15">
        <f>_xll.StatCountRange(ST_Combined,B134,C134,FALSE, TRUE)</f>
        <v>13</v>
      </c>
      <c r="F134" s="20">
        <f>E134/_xll.StatCount(ST_Combined)</f>
        <v>0.25490196078431371</v>
      </c>
      <c r="G134" s="20">
        <f t="shared" si="9"/>
        <v>4.1018706328393127E-3</v>
      </c>
    </row>
    <row r="135" spans="1:17" ht="15" customHeight="1" x14ac:dyDescent="0.25">
      <c r="A135" s="17" t="s">
        <v>133</v>
      </c>
      <c r="B135" s="21">
        <v>1502.28571429</v>
      </c>
      <c r="C135" s="21">
        <v>1564.4285714299999</v>
      </c>
      <c r="D135" s="21">
        <f t="shared" si="8"/>
        <v>1533.3571428599998</v>
      </c>
      <c r="E135" s="15">
        <f>_xll.StatCountRange(ST_Combined,B135,C135,FALSE, TRUE)</f>
        <v>12</v>
      </c>
      <c r="F135" s="20">
        <f>E135/_xll.StatCount(ST_Combined)</f>
        <v>0.23529411764705882</v>
      </c>
      <c r="G135" s="20">
        <f t="shared" si="9"/>
        <v>3.7863421232302076E-3</v>
      </c>
    </row>
    <row r="136" spans="1:17" ht="15" customHeight="1" x14ac:dyDescent="0.25">
      <c r="A136" s="17" t="s">
        <v>134</v>
      </c>
      <c r="B136" s="21">
        <v>1564.4285714299999</v>
      </c>
      <c r="C136" s="21">
        <v>1626.5714285700001</v>
      </c>
      <c r="D136" s="21">
        <f t="shared" si="8"/>
        <v>1595.5</v>
      </c>
      <c r="E136" s="15">
        <f>_xll.StatCountRange(ST_Combined,B136,C136,FALSE, TRUE)</f>
        <v>3</v>
      </c>
      <c r="F136" s="20">
        <f>E136/_xll.StatCount(ST_Combined)</f>
        <v>5.8823529411764705E-2</v>
      </c>
      <c r="G136" s="20">
        <f t="shared" si="9"/>
        <v>9.4658553080754842E-4</v>
      </c>
    </row>
    <row r="137" spans="1:17" ht="15" customHeight="1" x14ac:dyDescent="0.25">
      <c r="A137" s="17" t="s">
        <v>135</v>
      </c>
      <c r="B137" s="21">
        <v>1626.5714285700001</v>
      </c>
      <c r="C137" s="21">
        <v>1688.71428571</v>
      </c>
      <c r="D137" s="21">
        <f t="shared" si="8"/>
        <v>1657.6428571400002</v>
      </c>
      <c r="E137" s="15">
        <f>_xll.StatCountRange(ST_Combined,B137,C137,FALSE, TRUE)</f>
        <v>6</v>
      </c>
      <c r="F137" s="20">
        <f>E137/_xll.StatCount(ST_Combined)</f>
        <v>0.11764705882352941</v>
      </c>
      <c r="G137" s="20">
        <f t="shared" si="9"/>
        <v>1.8931710616151038E-3</v>
      </c>
    </row>
    <row r="138" spans="1:17" ht="15" customHeight="1" x14ac:dyDescent="0.25">
      <c r="A138" s="17" t="s">
        <v>136</v>
      </c>
      <c r="B138" s="21">
        <v>1688.71428571</v>
      </c>
      <c r="C138" s="21">
        <v>1750.8571428600001</v>
      </c>
      <c r="D138" s="21">
        <f t="shared" si="8"/>
        <v>1719.785714285</v>
      </c>
      <c r="E138" s="15">
        <f>_xll.StatCountRange(ST_Combined,B138,C138,FALSE, TRUE)</f>
        <v>7</v>
      </c>
      <c r="F138" s="20">
        <f>E138/_xll.StatCount(ST_Combined)</f>
        <v>0.13725490196078433</v>
      </c>
      <c r="G138" s="20">
        <f t="shared" si="9"/>
        <v>2.2086995715288609E-3</v>
      </c>
    </row>
    <row r="139" spans="1:17" ht="15" customHeight="1" x14ac:dyDescent="0.25">
      <c r="A139" s="17" t="s">
        <v>137</v>
      </c>
      <c r="B139" s="21">
        <v>1750.8571428600001</v>
      </c>
      <c r="C139" s="21">
        <v>1813</v>
      </c>
      <c r="D139" s="21">
        <f t="shared" si="8"/>
        <v>1781.9285714299999</v>
      </c>
      <c r="E139" s="15">
        <f>_xll.StatCountRange(ST_Combined,B139,C139,FALSE, TRUE)</f>
        <v>8</v>
      </c>
      <c r="F139" s="20">
        <f>E139/_xll.StatCount(ST_Combined)</f>
        <v>0.15686274509803921</v>
      </c>
      <c r="G139" s="20">
        <f t="shared" si="9"/>
        <v>2.5242280821534718E-3</v>
      </c>
    </row>
  </sheetData>
  <mergeCells count="10">
    <mergeCell ref="L7:Q7"/>
    <mergeCell ref="L36:Q36"/>
    <mergeCell ref="L65:Q65"/>
    <mergeCell ref="L94:Q94"/>
    <mergeCell ref="L123:Q123"/>
    <mergeCell ref="B7:G7"/>
    <mergeCell ref="B38:G38"/>
    <mergeCell ref="B69:G69"/>
    <mergeCell ref="B100:G100"/>
    <mergeCell ref="B131:G131"/>
  </mergeCells>
  <pageMargins left="0.7" right="0.7" top="0.75" bottom="0.75" header="0.3" footer="0.3"/>
  <pageSetup orientation="portrait" blackAndWhite="1"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ColWidth="12.7109375" defaultRowHeight="15" x14ac:dyDescent="0.25"/>
  <cols>
    <col min="1" max="1" width="16.85546875" bestFit="1" customWidth="1"/>
    <col min="2" max="6" width="12.7109375" customWidth="1"/>
  </cols>
  <sheetData>
    <row r="1" spans="1:8" s="8" customFormat="1" ht="18.75" x14ac:dyDescent="0.3">
      <c r="A1" s="10" t="s">
        <v>115</v>
      </c>
      <c r="B1" s="13" t="s">
        <v>116</v>
      </c>
    </row>
    <row r="2" spans="1:8" s="8" customFormat="1" ht="11.25" x14ac:dyDescent="0.2">
      <c r="A2" s="11" t="s">
        <v>117</v>
      </c>
      <c r="B2" s="13" t="s">
        <v>142</v>
      </c>
    </row>
    <row r="3" spans="1:8" s="8" customFormat="1" ht="11.25" x14ac:dyDescent="0.2">
      <c r="A3" s="11" t="s">
        <v>119</v>
      </c>
      <c r="B3" s="13" t="s">
        <v>120</v>
      </c>
    </row>
    <row r="4" spans="1:8" s="8" customFormat="1" ht="11.25" x14ac:dyDescent="0.2">
      <c r="A4" s="11" t="s">
        <v>121</v>
      </c>
      <c r="B4" s="13" t="s">
        <v>153</v>
      </c>
    </row>
    <row r="5" spans="1:8" s="9" customFormat="1" ht="11.25" x14ac:dyDescent="0.2">
      <c r="A5" s="12" t="s">
        <v>122</v>
      </c>
      <c r="B5" s="14" t="s">
        <v>123</v>
      </c>
    </row>
    <row r="6" spans="1:8" ht="15" customHeight="1" x14ac:dyDescent="0.25"/>
    <row r="7" spans="1:8" ht="15" customHeight="1" x14ac:dyDescent="0.25">
      <c r="A7" s="18"/>
      <c r="B7" s="17" t="s">
        <v>56</v>
      </c>
      <c r="C7" s="17" t="s">
        <v>53</v>
      </c>
      <c r="D7" s="17" t="s">
        <v>1</v>
      </c>
      <c r="E7" s="17" t="s">
        <v>54</v>
      </c>
      <c r="F7" s="17" t="s">
        <v>55</v>
      </c>
    </row>
    <row r="8" spans="1:8" ht="15" customHeight="1" thickBot="1" x14ac:dyDescent="0.3">
      <c r="A8" s="19" t="s">
        <v>142</v>
      </c>
      <c r="B8" s="22" t="s">
        <v>67</v>
      </c>
      <c r="C8" s="22" t="s">
        <v>67</v>
      </c>
      <c r="D8" s="22" t="s">
        <v>67</v>
      </c>
      <c r="E8" s="22" t="s">
        <v>67</v>
      </c>
      <c r="F8" s="22" t="s">
        <v>67</v>
      </c>
      <c r="H8" s="28" t="s">
        <v>152</v>
      </c>
    </row>
    <row r="9" spans="1:8" ht="15" customHeight="1" thickTop="1" x14ac:dyDescent="0.25">
      <c r="A9" s="17" t="s">
        <v>143</v>
      </c>
      <c r="B9" s="26">
        <f>_xll.StatMean(ST_PercentTaking)</f>
        <v>0.37176470588235311</v>
      </c>
      <c r="C9" s="27">
        <f>_xll.StatMean(ST_CriticalReading)</f>
        <v>534.45098039215691</v>
      </c>
      <c r="D9" s="27">
        <f>_xll.StatMean(ST_Math)</f>
        <v>538.76470588235293</v>
      </c>
      <c r="E9" s="27">
        <f>_xll.StatMean(ST_Writing)</f>
        <v>521.37254901960785</v>
      </c>
      <c r="F9" s="27">
        <f>_xll.StatMean(ST_Combined)</f>
        <v>1594.5882352941176</v>
      </c>
      <c r="H9" s="29">
        <f>SUM(C9:E9)</f>
        <v>1594.5882352941176</v>
      </c>
    </row>
    <row r="10" spans="1:8" ht="15" customHeight="1" x14ac:dyDescent="0.25">
      <c r="A10" s="17" t="s">
        <v>144</v>
      </c>
      <c r="B10" s="23">
        <f>_xll.StatStdDev(ST_PercentTaking)</f>
        <v>0.30493085040614004</v>
      </c>
      <c r="C10" s="25">
        <f>_xll.StatStdDev(ST_CriticalReading)</f>
        <v>40.753558728282954</v>
      </c>
      <c r="D10" s="25">
        <f>_xll.StatStdDev(ST_Math)</f>
        <v>41.257042179629956</v>
      </c>
      <c r="E10" s="25">
        <f>_xll.StatStdDev(ST_Writing)</f>
        <v>39.437018540611682</v>
      </c>
      <c r="F10" s="25">
        <f>_xll.StatStdDev(ST_Combined)</f>
        <v>120.57498521179063</v>
      </c>
    </row>
    <row r="11" spans="1:8" ht="15" customHeight="1" x14ac:dyDescent="0.25">
      <c r="A11" s="17" t="s">
        <v>145</v>
      </c>
      <c r="B11" s="26">
        <f>_xll.StatMedian(ST_PercentTaking)</f>
        <v>0.26</v>
      </c>
      <c r="C11" s="27">
        <f>_xll.StatMedian(ST_CriticalReading)</f>
        <v>523</v>
      </c>
      <c r="D11" s="27">
        <f>_xll.StatMedian(ST_Math)</f>
        <v>525</v>
      </c>
      <c r="E11" s="27">
        <f>_xll.StatMedian(ST_Writing)</f>
        <v>510</v>
      </c>
      <c r="F11" s="27">
        <f>_xll.StatMedian(ST_Combined)</f>
        <v>1556</v>
      </c>
      <c r="H11" s="29">
        <f>SUM(C11:E11)</f>
        <v>1558</v>
      </c>
    </row>
    <row r="12" spans="1:8" ht="15" customHeight="1" x14ac:dyDescent="0.25">
      <c r="A12" s="17" t="s">
        <v>146</v>
      </c>
      <c r="B12" s="26">
        <f>_xll.StatMode(ST_PercentTaking)</f>
        <v>0.05</v>
      </c>
      <c r="C12" s="27">
        <f>_xll.StatMode(ST_CriticalReading)</f>
        <v>486</v>
      </c>
      <c r="D12" s="27">
        <f>_xll.StatMode(ST_Math)</f>
        <v>502</v>
      </c>
      <c r="E12" s="27">
        <f>_xll.StatMode(ST_Writing)</f>
        <v>480</v>
      </c>
      <c r="F12" s="27">
        <f>_xll.StatMode(ST_Combined)</f>
        <v>1477</v>
      </c>
    </row>
    <row r="13" spans="1:8" ht="15" customHeight="1" x14ac:dyDescent="0.25">
      <c r="A13" s="17" t="s">
        <v>147</v>
      </c>
      <c r="B13" s="23">
        <f>_xll.StatMin(ST_PercentTaking)</f>
        <v>0.03</v>
      </c>
      <c r="C13" s="25">
        <f>_xll.StatMin(ST_CriticalReading)</f>
        <v>466</v>
      </c>
      <c r="D13" s="25">
        <f>_xll.StatMin(ST_Math)</f>
        <v>451</v>
      </c>
      <c r="E13" s="25">
        <f>_xll.StatMin(ST_Writing)</f>
        <v>455</v>
      </c>
      <c r="F13" s="25">
        <f>_xll.StatMin(ST_Combined)</f>
        <v>1378</v>
      </c>
    </row>
    <row r="14" spans="1:8" ht="15" customHeight="1" x14ac:dyDescent="0.25">
      <c r="A14" s="17" t="s">
        <v>148</v>
      </c>
      <c r="B14" s="23">
        <f>_xll.StatMax(ST_PercentTaking)</f>
        <v>0.9</v>
      </c>
      <c r="C14" s="25">
        <f>_xll.StatMax(ST_CriticalReading)</f>
        <v>610</v>
      </c>
      <c r="D14" s="25">
        <f>_xll.StatMax(ST_Math)</f>
        <v>615</v>
      </c>
      <c r="E14" s="25">
        <f>_xll.StatMax(ST_Writing)</f>
        <v>588</v>
      </c>
      <c r="F14" s="25">
        <f>_xll.StatMax(ST_Combined)</f>
        <v>1813</v>
      </c>
    </row>
    <row r="15" spans="1:8" ht="15" customHeight="1" x14ac:dyDescent="0.25">
      <c r="A15" s="17" t="s">
        <v>149</v>
      </c>
      <c r="B15" s="24">
        <f>_xll.StatCount(ST_PercentTaking)</f>
        <v>51</v>
      </c>
      <c r="C15" s="24">
        <f>_xll.StatCount(ST_CriticalReading)</f>
        <v>51</v>
      </c>
      <c r="D15" s="24">
        <f>_xll.StatCount(ST_Math)</f>
        <v>51</v>
      </c>
      <c r="E15" s="24">
        <f>_xll.StatCount(ST_Writing)</f>
        <v>51</v>
      </c>
      <c r="F15" s="24">
        <f>_xll.StatCount(ST_Combined)</f>
        <v>51</v>
      </c>
    </row>
    <row r="16" spans="1:8" ht="15" customHeight="1" x14ac:dyDescent="0.25">
      <c r="A16" s="17" t="s">
        <v>150</v>
      </c>
      <c r="B16" s="23">
        <f>_xll.StatQuartile(ST_PercentTaking, 1)</f>
        <v>0.06</v>
      </c>
      <c r="C16" s="25">
        <f>_xll.StatQuartile(ST_CriticalReading, 1)</f>
        <v>497</v>
      </c>
      <c r="D16" s="25">
        <f>_xll.StatQuartile(ST_Math, 1)</f>
        <v>505</v>
      </c>
      <c r="E16" s="25">
        <f>_xll.StatQuartile(ST_Writing, 1)</f>
        <v>484</v>
      </c>
      <c r="F16" s="25">
        <f>_xll.StatQuartile(ST_Combined, 1)</f>
        <v>1486</v>
      </c>
    </row>
    <row r="17" spans="1:6" ht="15" customHeight="1" x14ac:dyDescent="0.25">
      <c r="A17" s="17" t="s">
        <v>151</v>
      </c>
      <c r="B17" s="23">
        <f>_xll.StatQuartile(ST_PercentTaking, 3)</f>
        <v>0.67</v>
      </c>
      <c r="C17" s="25">
        <f>_xll.StatQuartile(ST_CriticalReading, 3)</f>
        <v>572</v>
      </c>
      <c r="D17" s="25">
        <f>_xll.StatQuartile(ST_Math, 3)</f>
        <v>572</v>
      </c>
      <c r="E17" s="25">
        <f>_xll.StatQuartile(ST_Writing, 3)</f>
        <v>559</v>
      </c>
      <c r="F17" s="25">
        <f>_xll.StatQuartile(ST_Combined, 3)</f>
        <v>1701</v>
      </c>
    </row>
    <row r="18" spans="1:6" ht="15" customHeight="1" x14ac:dyDescent="0.25"/>
    <row r="19" spans="1:6" ht="15" customHeight="1" x14ac:dyDescent="0.25"/>
    <row r="20" spans="1:6" ht="15" customHeight="1" x14ac:dyDescent="0.25"/>
  </sheetData>
  <pageMargins left="0.7" right="0.7" top="0.75" bottom="0.75" header="0.3" footer="0.3"/>
  <pageSetup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vt:i4>
      </vt:variant>
    </vt:vector>
  </HeadingPairs>
  <TitlesOfParts>
    <vt:vector size="13" baseType="lpstr">
      <vt:lpstr>Source</vt:lpstr>
      <vt:lpstr>Data</vt:lpstr>
      <vt:lpstr>_STDS_DG1D848FEC</vt:lpstr>
      <vt:lpstr>Histogram</vt:lpstr>
      <vt:lpstr>One Var Summary</vt:lpstr>
      <vt:lpstr>ST_Combined</vt:lpstr>
      <vt:lpstr>ST_CriticalReading</vt:lpstr>
      <vt:lpstr>ST_Math</vt:lpstr>
      <vt:lpstr>ST_PercentTaking</vt:lpstr>
      <vt:lpstr>ST_State</vt:lpstr>
      <vt:lpstr>ST_Writing</vt:lpstr>
      <vt:lpstr>Histogram!StatToolsHeader</vt:lpstr>
      <vt:lpstr>'One Var Summary'!StatToolsHeader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cp:lastModifiedBy>
  <dcterms:created xsi:type="dcterms:W3CDTF">2007-05-15T19:02:26Z</dcterms:created>
  <dcterms:modified xsi:type="dcterms:W3CDTF">2012-10-12T17:31:44Z</dcterms:modified>
</cp:coreProperties>
</file>