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40" windowWidth="14910" windowHeight="8325" tabRatio="824"/>
  </bookViews>
  <sheets>
    <sheet name="Model Facts" sheetId="15" r:id="rId1"/>
    <sheet name="Exh 1" sheetId="13" r:id="rId2"/>
    <sheet name="Exh 2" sheetId="11" r:id="rId3"/>
    <sheet name="Exh 3" sheetId="12" r:id="rId4"/>
    <sheet name="Exh 4" sheetId="1" r:id="rId5"/>
    <sheet name="Exh 5" sheetId="2" r:id="rId6"/>
    <sheet name="Exh 6" sheetId="14" r:id="rId7"/>
    <sheet name="Exh 7" sheetId="3" r:id="rId8"/>
    <sheet name="Exh 8" sheetId="7" r:id="rId9"/>
    <sheet name="Exh TN1" sheetId="17" r:id="rId10"/>
    <sheet name="Exh TN2" sheetId="21" r:id="rId11"/>
    <sheet name="Exh TN3" sheetId="19" r:id="rId12"/>
    <sheet name="Exh TN4" sheetId="20" r:id="rId13"/>
  </sheets>
  <externalReferences>
    <externalReference r:id="rId14"/>
  </externalReferences>
  <calcPr calcId="145621" iterate="1"/>
</workbook>
</file>

<file path=xl/calcChain.xml><?xml version="1.0" encoding="utf-8"?>
<calcChain xmlns="http://schemas.openxmlformats.org/spreadsheetml/2006/main">
  <c r="H37" i="2" l="1"/>
  <c r="D25" i="19"/>
  <c r="E25" i="19"/>
  <c r="F25" i="19"/>
  <c r="D24" i="19"/>
  <c r="E24" i="19"/>
  <c r="H31" i="21"/>
  <c r="D23" i="19"/>
  <c r="E23" i="19"/>
  <c r="H34" i="21"/>
  <c r="D22" i="19"/>
  <c r="H33" i="21"/>
  <c r="D21" i="19"/>
  <c r="E21" i="19"/>
  <c r="H24" i="2"/>
  <c r="D20" i="19"/>
  <c r="H24" i="21"/>
  <c r="D17" i="19"/>
  <c r="E17" i="19"/>
  <c r="H14" i="2"/>
  <c r="H13" i="2"/>
  <c r="H22" i="21"/>
  <c r="D15" i="19"/>
  <c r="H42" i="21"/>
  <c r="D11" i="19"/>
  <c r="H35" i="21"/>
  <c r="G35" i="21"/>
  <c r="H41" i="21"/>
  <c r="D12" i="19"/>
  <c r="D13" i="19"/>
  <c r="H30" i="2"/>
  <c r="H12" i="21"/>
  <c r="H27" i="2"/>
  <c r="H28" i="2"/>
  <c r="G30" i="2"/>
  <c r="G12" i="21"/>
  <c r="G24" i="2"/>
  <c r="G27" i="2"/>
  <c r="G28" i="2"/>
  <c r="G11" i="21"/>
  <c r="G37" i="2"/>
  <c r="G32" i="21"/>
  <c r="F30" i="2"/>
  <c r="F12" i="21"/>
  <c r="F24" i="2"/>
  <c r="F27" i="2"/>
  <c r="F28" i="2"/>
  <c r="F37" i="2"/>
  <c r="E30" i="2"/>
  <c r="E12" i="21"/>
  <c r="E24" i="2"/>
  <c r="E27" i="2"/>
  <c r="E28" i="2"/>
  <c r="E37" i="2"/>
  <c r="D30" i="2"/>
  <c r="D12" i="21"/>
  <c r="D24" i="2"/>
  <c r="D27" i="2"/>
  <c r="D28" i="2"/>
  <c r="D37" i="2"/>
  <c r="H43" i="21"/>
  <c r="G43" i="21"/>
  <c r="F43" i="21"/>
  <c r="E43" i="21"/>
  <c r="G42" i="21"/>
  <c r="F42" i="21"/>
  <c r="E42" i="21"/>
  <c r="H40" i="21"/>
  <c r="G40" i="21"/>
  <c r="F40" i="21"/>
  <c r="E40" i="21"/>
  <c r="H37" i="21"/>
  <c r="G37" i="21"/>
  <c r="F37" i="21"/>
  <c r="E37" i="21"/>
  <c r="D37" i="21"/>
  <c r="H36" i="21"/>
  <c r="G36" i="21"/>
  <c r="F36" i="21"/>
  <c r="E36" i="21"/>
  <c r="D36" i="21"/>
  <c r="F35" i="21"/>
  <c r="E35" i="21"/>
  <c r="D35" i="21"/>
  <c r="E41" i="21"/>
  <c r="G34" i="21"/>
  <c r="F34" i="21"/>
  <c r="E34" i="21"/>
  <c r="D34" i="21"/>
  <c r="G33" i="21"/>
  <c r="F33" i="21"/>
  <c r="E33" i="21"/>
  <c r="D33" i="21"/>
  <c r="G31" i="21"/>
  <c r="F31" i="21"/>
  <c r="E31" i="21"/>
  <c r="D31" i="21"/>
  <c r="G13" i="2"/>
  <c r="G14" i="2"/>
  <c r="G16" i="2"/>
  <c r="G26" i="21"/>
  <c r="G19" i="2"/>
  <c r="G14" i="21"/>
  <c r="G15" i="21"/>
  <c r="F13" i="2"/>
  <c r="F15" i="2"/>
  <c r="E13" i="2"/>
  <c r="E15" i="2"/>
  <c r="E14" i="2"/>
  <c r="E23" i="21"/>
  <c r="D13" i="2"/>
  <c r="D15" i="2"/>
  <c r="D14" i="2"/>
  <c r="D23" i="21"/>
  <c r="H25" i="21"/>
  <c r="G25" i="21"/>
  <c r="D25" i="21"/>
  <c r="G24" i="21"/>
  <c r="E24" i="21"/>
  <c r="D24" i="21"/>
  <c r="G23" i="21"/>
  <c r="G22" i="21"/>
  <c r="E22" i="21"/>
  <c r="G41" i="21"/>
  <c r="L34" i="20"/>
  <c r="J35" i="20"/>
  <c r="K35" i="20"/>
  <c r="K34" i="20"/>
  <c r="J34" i="20"/>
  <c r="H31" i="20"/>
  <c r="I31" i="20"/>
  <c r="J31" i="20"/>
  <c r="K31" i="20"/>
  <c r="L31" i="20"/>
  <c r="F31" i="20"/>
  <c r="E31" i="20"/>
  <c r="D31" i="20"/>
  <c r="C31" i="20"/>
  <c r="G15" i="19"/>
  <c r="E13" i="19"/>
  <c r="E29" i="19"/>
  <c r="F13" i="19"/>
  <c r="G13" i="19"/>
  <c r="H13" i="19"/>
  <c r="I13" i="19"/>
  <c r="F17" i="19"/>
  <c r="G17" i="19"/>
  <c r="H17" i="19"/>
  <c r="I17" i="19"/>
  <c r="G18" i="19"/>
  <c r="H18" i="19"/>
  <c r="I18" i="19"/>
  <c r="I20" i="19"/>
  <c r="F21" i="19"/>
  <c r="G21" i="19"/>
  <c r="H21" i="19"/>
  <c r="I21" i="19"/>
  <c r="E40" i="19"/>
  <c r="F40" i="19"/>
  <c r="G40" i="19"/>
  <c r="H40" i="19"/>
  <c r="I40" i="19"/>
  <c r="F24" i="19"/>
  <c r="G24" i="19"/>
  <c r="H24" i="19"/>
  <c r="I24" i="19"/>
  <c r="E43" i="19"/>
  <c r="F43" i="19"/>
  <c r="G43" i="19"/>
  <c r="H43" i="19"/>
  <c r="I43" i="19"/>
  <c r="G25" i="19"/>
  <c r="H25" i="19"/>
  <c r="E48" i="19"/>
  <c r="F48" i="19"/>
  <c r="G48" i="19"/>
  <c r="H48" i="19"/>
  <c r="I48" i="19"/>
  <c r="G16" i="19"/>
  <c r="E22" i="19"/>
  <c r="F22" i="19"/>
  <c r="E20" i="19"/>
  <c r="D31" i="19"/>
  <c r="D32" i="19"/>
  <c r="D34" i="19"/>
  <c r="D35" i="19"/>
  <c r="D41" i="19"/>
  <c r="D45" i="19"/>
  <c r="D46" i="19"/>
  <c r="D49" i="19"/>
  <c r="D50" i="19"/>
  <c r="E28" i="19"/>
  <c r="F28" i="19"/>
  <c r="G28" i="19"/>
  <c r="H28" i="19"/>
  <c r="I28" i="19"/>
  <c r="D25" i="12"/>
  <c r="D26" i="12"/>
  <c r="D16" i="12"/>
  <c r="H13" i="1"/>
  <c r="H14" i="1"/>
  <c r="H16" i="1"/>
  <c r="H15" i="3"/>
  <c r="H26" i="3"/>
  <c r="H27" i="3"/>
  <c r="H30" i="1"/>
  <c r="H12" i="3"/>
  <c r="H24" i="1"/>
  <c r="H28" i="1"/>
  <c r="H37" i="1"/>
  <c r="G13" i="1"/>
  <c r="G14" i="1"/>
  <c r="G30" i="1"/>
  <c r="G12" i="3"/>
  <c r="G24" i="1"/>
  <c r="G28" i="1"/>
  <c r="G37" i="1"/>
  <c r="F13" i="1"/>
  <c r="F14" i="1"/>
  <c r="F16" i="1"/>
  <c r="F15" i="3"/>
  <c r="F27" i="3"/>
  <c r="F30" i="1"/>
  <c r="F12" i="3"/>
  <c r="F24" i="1"/>
  <c r="F28" i="1"/>
  <c r="F11" i="3"/>
  <c r="F37" i="1"/>
  <c r="E13" i="1"/>
  <c r="E14" i="1"/>
  <c r="E30" i="1"/>
  <c r="E12" i="3"/>
  <c r="E24" i="1"/>
  <c r="E28" i="1"/>
  <c r="E31" i="1"/>
  <c r="E37" i="1"/>
  <c r="E11" i="3"/>
  <c r="E32" i="3"/>
  <c r="D13" i="1"/>
  <c r="D14" i="1"/>
  <c r="D16" i="1"/>
  <c r="D15" i="3"/>
  <c r="D30" i="1"/>
  <c r="D12" i="3"/>
  <c r="D24" i="1"/>
  <c r="D27" i="1"/>
  <c r="D28" i="1"/>
  <c r="D37" i="1"/>
  <c r="D28" i="7"/>
  <c r="E10" i="7"/>
  <c r="E12" i="7"/>
  <c r="F10" i="7"/>
  <c r="F12" i="7"/>
  <c r="G12" i="7"/>
  <c r="H12" i="7"/>
  <c r="I12" i="7"/>
  <c r="D32" i="7"/>
  <c r="D31" i="7"/>
  <c r="D29" i="7"/>
  <c r="D19" i="7"/>
  <c r="I20" i="7"/>
  <c r="H22" i="3"/>
  <c r="D14" i="7"/>
  <c r="E39" i="7"/>
  <c r="F39" i="7"/>
  <c r="G39" i="7"/>
  <c r="H39" i="7"/>
  <c r="I39" i="7"/>
  <c r="D23" i="7"/>
  <c r="E23" i="7"/>
  <c r="F23" i="7"/>
  <c r="G23" i="7"/>
  <c r="H23" i="7"/>
  <c r="I23" i="7"/>
  <c r="E42" i="7"/>
  <c r="F42" i="7"/>
  <c r="G42" i="7"/>
  <c r="H42" i="7"/>
  <c r="I42" i="7"/>
  <c r="D24" i="7"/>
  <c r="E24" i="7"/>
  <c r="F24" i="7"/>
  <c r="D47" i="7"/>
  <c r="E47" i="7"/>
  <c r="F47" i="7"/>
  <c r="G47" i="7"/>
  <c r="H47" i="7"/>
  <c r="I47" i="7"/>
  <c r="D36" i="7"/>
  <c r="D40" i="7"/>
  <c r="D45" i="7"/>
  <c r="D48" i="7"/>
  <c r="D43" i="7"/>
  <c r="D44" i="7"/>
  <c r="H23" i="3"/>
  <c r="D15" i="7"/>
  <c r="H24" i="3"/>
  <c r="D16" i="7"/>
  <c r="E16" i="7"/>
  <c r="G17" i="7"/>
  <c r="H17" i="7"/>
  <c r="I17" i="7"/>
  <c r="H19" i="1"/>
  <c r="H21" i="1"/>
  <c r="H19" i="3"/>
  <c r="F19" i="1"/>
  <c r="F21" i="1"/>
  <c r="F19" i="3"/>
  <c r="D19" i="1"/>
  <c r="D21" i="1"/>
  <c r="D19" i="3"/>
  <c r="H43" i="3"/>
  <c r="G43" i="3"/>
  <c r="F43" i="3"/>
  <c r="H42" i="3"/>
  <c r="D10" i="7"/>
  <c r="G42" i="3"/>
  <c r="F42" i="3"/>
  <c r="E43" i="3"/>
  <c r="E42" i="3"/>
  <c r="H37" i="3"/>
  <c r="G37" i="3"/>
  <c r="F37" i="3"/>
  <c r="E37" i="3"/>
  <c r="H36" i="3"/>
  <c r="G36" i="3"/>
  <c r="F36" i="3"/>
  <c r="E36" i="3"/>
  <c r="H35" i="3"/>
  <c r="G35" i="3"/>
  <c r="F35" i="3"/>
  <c r="E35" i="3"/>
  <c r="D37" i="3"/>
  <c r="D36" i="3"/>
  <c r="D35" i="3"/>
  <c r="H38" i="2"/>
  <c r="H44" i="2"/>
  <c r="G38" i="2"/>
  <c r="G44" i="2"/>
  <c r="F38" i="2"/>
  <c r="F44" i="2"/>
  <c r="E38" i="2"/>
  <c r="E44" i="2"/>
  <c r="D38" i="2"/>
  <c r="D44" i="2"/>
  <c r="H38" i="1"/>
  <c r="H44" i="1"/>
  <c r="G38" i="1"/>
  <c r="G44" i="1"/>
  <c r="F38" i="1"/>
  <c r="F44" i="1"/>
  <c r="E38" i="1"/>
  <c r="E44" i="1"/>
  <c r="D38" i="1"/>
  <c r="D44" i="1"/>
  <c r="D17" i="12"/>
  <c r="H33" i="3"/>
  <c r="D20" i="7"/>
  <c r="E27" i="7"/>
  <c r="F27" i="7"/>
  <c r="G27" i="7"/>
  <c r="H27" i="7"/>
  <c r="I27" i="7"/>
  <c r="F31" i="1"/>
  <c r="E31" i="2"/>
  <c r="G31" i="2"/>
  <c r="H31" i="3"/>
  <c r="D22" i="7"/>
  <c r="H34" i="3"/>
  <c r="G31" i="3"/>
  <c r="F31" i="3"/>
  <c r="E31" i="3"/>
  <c r="D31" i="3"/>
  <c r="H40" i="3"/>
  <c r="D12" i="7"/>
  <c r="G40" i="3"/>
  <c r="F40" i="3"/>
  <c r="F32" i="3"/>
  <c r="D33" i="3"/>
  <c r="E33" i="3"/>
  <c r="F33" i="3"/>
  <c r="G33" i="3"/>
  <c r="D34" i="3"/>
  <c r="E34" i="3"/>
  <c r="F34" i="3"/>
  <c r="G34" i="3"/>
  <c r="D22" i="3"/>
  <c r="E22" i="3"/>
  <c r="F22" i="3"/>
  <c r="G22" i="3"/>
  <c r="D23" i="3"/>
  <c r="F23" i="3"/>
  <c r="D24" i="3"/>
  <c r="E24" i="3"/>
  <c r="F24" i="3"/>
  <c r="G24" i="3"/>
  <c r="D25" i="3"/>
  <c r="E25" i="3"/>
  <c r="F25" i="3"/>
  <c r="G25" i="3"/>
  <c r="D26" i="3"/>
  <c r="F26" i="3"/>
  <c r="F41" i="3"/>
  <c r="E40" i="3"/>
  <c r="H25" i="3"/>
  <c r="D21" i="7"/>
  <c r="I25" i="19"/>
  <c r="E38" i="19"/>
  <c r="E41" i="3"/>
  <c r="F41" i="21"/>
  <c r="E28" i="7"/>
  <c r="D30" i="7"/>
  <c r="D33" i="7"/>
  <c r="D34" i="7"/>
  <c r="D49" i="7"/>
  <c r="E16" i="1"/>
  <c r="E23" i="3"/>
  <c r="G16" i="1"/>
  <c r="G23" i="3"/>
  <c r="D11" i="21"/>
  <c r="D31" i="2"/>
  <c r="D31" i="1"/>
  <c r="E16" i="2"/>
  <c r="E26" i="21"/>
  <c r="H41" i="3"/>
  <c r="D11" i="7"/>
  <c r="G41" i="3"/>
  <c r="D27" i="3"/>
  <c r="E31" i="19"/>
  <c r="E30" i="19"/>
  <c r="E33" i="19"/>
  <c r="E37" i="19"/>
  <c r="E44" i="19"/>
  <c r="E47" i="19"/>
  <c r="D16" i="2"/>
  <c r="D22" i="21"/>
  <c r="F22" i="21"/>
  <c r="F11" i="21"/>
  <c r="F31" i="2"/>
  <c r="H11" i="21"/>
  <c r="H32" i="21"/>
  <c r="H31" i="2"/>
  <c r="E13" i="3"/>
  <c r="F13" i="3"/>
  <c r="F30" i="3"/>
  <c r="G13" i="21"/>
  <c r="G30" i="21"/>
  <c r="E19" i="2"/>
  <c r="D32" i="21"/>
  <c r="D13" i="21"/>
  <c r="G19" i="1"/>
  <c r="G21" i="1"/>
  <c r="G19" i="3"/>
  <c r="G26" i="3"/>
  <c r="G15" i="3"/>
  <c r="E19" i="1"/>
  <c r="E21" i="1"/>
  <c r="E19" i="3"/>
  <c r="E26" i="3"/>
  <c r="E15" i="3"/>
  <c r="E37" i="7"/>
  <c r="E43" i="7"/>
  <c r="E30" i="7"/>
  <c r="E29" i="7"/>
  <c r="E46" i="7"/>
  <c r="F28" i="7"/>
  <c r="E36" i="7"/>
  <c r="E31" i="7"/>
  <c r="G46" i="21"/>
  <c r="F46" i="3"/>
  <c r="E30" i="3"/>
  <c r="E46" i="3"/>
  <c r="F13" i="21"/>
  <c r="F46" i="21"/>
  <c r="F32" i="21"/>
  <c r="D19" i="2"/>
  <c r="D14" i="21"/>
  <c r="D15" i="21"/>
  <c r="D26" i="21"/>
  <c r="F18" i="3"/>
  <c r="H13" i="21"/>
  <c r="H46" i="21"/>
  <c r="H30" i="21"/>
  <c r="F30" i="21"/>
  <c r="E27" i="3"/>
  <c r="E18" i="3"/>
  <c r="D46" i="21"/>
  <c r="D30" i="21"/>
  <c r="F37" i="7"/>
  <c r="F31" i="7"/>
  <c r="F30" i="7"/>
  <c r="F46" i="7"/>
  <c r="G28" i="7"/>
  <c r="F36" i="7"/>
  <c r="G27" i="3"/>
  <c r="E14" i="21"/>
  <c r="E15" i="21"/>
  <c r="E27" i="21"/>
  <c r="E21" i="2"/>
  <c r="E19" i="21"/>
  <c r="G37" i="7"/>
  <c r="G31" i="7"/>
  <c r="G36" i="7"/>
  <c r="E42" i="19"/>
  <c r="E45" i="19"/>
  <c r="E39" i="19"/>
  <c r="E41" i="19"/>
  <c r="E46" i="19"/>
  <c r="E49" i="19"/>
  <c r="D27" i="21"/>
  <c r="D18" i="21"/>
  <c r="E41" i="7"/>
  <c r="E44" i="7"/>
  <c r="E38" i="7"/>
  <c r="E40" i="7"/>
  <c r="E45" i="7"/>
  <c r="E48" i="7"/>
  <c r="E32" i="7"/>
  <c r="E33" i="7"/>
  <c r="E34" i="7"/>
  <c r="F16" i="7"/>
  <c r="G24" i="7"/>
  <c r="H24" i="7"/>
  <c r="I24" i="7"/>
  <c r="F43" i="7"/>
  <c r="G18" i="21"/>
  <c r="G27" i="21"/>
  <c r="H15" i="19"/>
  <c r="H23" i="21"/>
  <c r="D16" i="19"/>
  <c r="H16" i="2"/>
  <c r="F29" i="7"/>
  <c r="H28" i="7"/>
  <c r="G46" i="7"/>
  <c r="G30" i="7"/>
  <c r="D21" i="2"/>
  <c r="D19" i="21"/>
  <c r="D11" i="3"/>
  <c r="D32" i="3"/>
  <c r="G31" i="1"/>
  <c r="G11" i="3"/>
  <c r="H31" i="1"/>
  <c r="H11" i="3"/>
  <c r="E32" i="19"/>
  <c r="E34" i="19"/>
  <c r="E35" i="19"/>
  <c r="E50" i="19"/>
  <c r="F29" i="19"/>
  <c r="G21" i="2"/>
  <c r="G19" i="21"/>
  <c r="E25" i="21"/>
  <c r="F14" i="2"/>
  <c r="F25" i="21"/>
  <c r="F24" i="21"/>
  <c r="E11" i="21"/>
  <c r="F23" i="21"/>
  <c r="F16" i="2"/>
  <c r="F38" i="7"/>
  <c r="F40" i="7"/>
  <c r="F41" i="7"/>
  <c r="F44" i="7"/>
  <c r="I15" i="19"/>
  <c r="G16" i="7"/>
  <c r="F32" i="7"/>
  <c r="F33" i="7"/>
  <c r="F34" i="7"/>
  <c r="E32" i="21"/>
  <c r="E13" i="21"/>
  <c r="F38" i="19"/>
  <c r="F31" i="19"/>
  <c r="G29" i="19"/>
  <c r="F37" i="19"/>
  <c r="F44" i="19"/>
  <c r="F33" i="19"/>
  <c r="F47" i="19"/>
  <c r="F32" i="19"/>
  <c r="H32" i="3"/>
  <c r="H13" i="3"/>
  <c r="G32" i="3"/>
  <c r="G13" i="3"/>
  <c r="G29" i="7"/>
  <c r="H29" i="7"/>
  <c r="H31" i="7"/>
  <c r="H46" i="7"/>
  <c r="I28" i="7"/>
  <c r="H37" i="7"/>
  <c r="H30" i="7"/>
  <c r="H36" i="7"/>
  <c r="H43" i="7"/>
  <c r="H26" i="21"/>
  <c r="H19" i="2"/>
  <c r="D13" i="3"/>
  <c r="E49" i="7"/>
  <c r="G43" i="7"/>
  <c r="D46" i="3"/>
  <c r="D18" i="3"/>
  <c r="D30" i="3"/>
  <c r="H41" i="7"/>
  <c r="H44" i="7"/>
  <c r="H38" i="7"/>
  <c r="H40" i="7"/>
  <c r="H45" i="7"/>
  <c r="H48" i="7"/>
  <c r="G41" i="7"/>
  <c r="G44" i="7"/>
  <c r="G38" i="7"/>
  <c r="G40" i="7"/>
  <c r="G45" i="7"/>
  <c r="G48" i="7"/>
  <c r="F34" i="19"/>
  <c r="F35" i="19"/>
  <c r="E46" i="21"/>
  <c r="E18" i="21"/>
  <c r="E30" i="21"/>
  <c r="F19" i="2"/>
  <c r="F26" i="21"/>
  <c r="H14" i="21"/>
  <c r="H15" i="21"/>
  <c r="H21" i="2"/>
  <c r="H19" i="21"/>
  <c r="I37" i="7"/>
  <c r="I30" i="7"/>
  <c r="I43" i="7"/>
  <c r="I31" i="7"/>
  <c r="I36" i="7"/>
  <c r="I46" i="7"/>
  <c r="G46" i="3"/>
  <c r="G18" i="3"/>
  <c r="G30" i="3"/>
  <c r="H30" i="3"/>
  <c r="H18" i="3"/>
  <c r="H46" i="3"/>
  <c r="F30" i="19"/>
  <c r="H29" i="19"/>
  <c r="G44" i="19"/>
  <c r="G37" i="19"/>
  <c r="G33" i="19"/>
  <c r="G47" i="19"/>
  <c r="G32" i="19"/>
  <c r="G38" i="19"/>
  <c r="G31" i="19"/>
  <c r="G34" i="19"/>
  <c r="G35" i="19"/>
  <c r="H16" i="7"/>
  <c r="G32" i="7"/>
  <c r="G33" i="7"/>
  <c r="G34" i="7"/>
  <c r="G49" i="7"/>
  <c r="F45" i="7"/>
  <c r="F48" i="7"/>
  <c r="F49" i="7"/>
  <c r="G30" i="19"/>
  <c r="H18" i="21"/>
  <c r="H27" i="21"/>
  <c r="H32" i="19"/>
  <c r="I29" i="19"/>
  <c r="H37" i="19"/>
  <c r="H38" i="19"/>
  <c r="H44" i="19"/>
  <c r="H33" i="19"/>
  <c r="H47" i="19"/>
  <c r="H31" i="19"/>
  <c r="H34" i="19"/>
  <c r="H35" i="19"/>
  <c r="I16" i="7"/>
  <c r="I32" i="7"/>
  <c r="I33" i="7"/>
  <c r="I34" i="7"/>
  <c r="H32" i="7"/>
  <c r="H33" i="7"/>
  <c r="H34" i="7"/>
  <c r="H49" i="7"/>
  <c r="F39" i="19"/>
  <c r="F41" i="19"/>
  <c r="F46" i="19"/>
  <c r="F49" i="19"/>
  <c r="F50" i="19"/>
  <c r="F42" i="19"/>
  <c r="F45" i="19"/>
  <c r="I29" i="7"/>
  <c r="F14" i="21"/>
  <c r="F15" i="21"/>
  <c r="F21" i="2"/>
  <c r="F19" i="21"/>
  <c r="I41" i="7"/>
  <c r="I44" i="7"/>
  <c r="I38" i="7"/>
  <c r="I40" i="7"/>
  <c r="F27" i="21"/>
  <c r="F18" i="21"/>
  <c r="H30" i="19"/>
  <c r="I32" i="19"/>
  <c r="I37" i="19"/>
  <c r="I47" i="19"/>
  <c r="I33" i="19"/>
  <c r="I44" i="19"/>
  <c r="I38" i="19"/>
  <c r="I31" i="19"/>
  <c r="I34" i="19"/>
  <c r="I35" i="19"/>
  <c r="G39" i="19"/>
  <c r="G41" i="19"/>
  <c r="G42" i="19"/>
  <c r="G45" i="19"/>
  <c r="H39" i="19"/>
  <c r="H41" i="19"/>
  <c r="H42" i="19"/>
  <c r="H45" i="19"/>
  <c r="G46" i="19"/>
  <c r="G49" i="19"/>
  <c r="G50" i="19"/>
  <c r="I30" i="19"/>
  <c r="I45" i="7"/>
  <c r="I48" i="7"/>
  <c r="I49" i="7"/>
  <c r="I39" i="19"/>
  <c r="I41" i="19"/>
  <c r="I42" i="19"/>
  <c r="I45" i="19"/>
  <c r="H46" i="19"/>
  <c r="H49" i="19"/>
  <c r="H50" i="19"/>
  <c r="I46" i="19"/>
  <c r="I49" i="19"/>
  <c r="I50" i="19"/>
</calcChain>
</file>

<file path=xl/sharedStrings.xml><?xml version="1.0" encoding="utf-8"?>
<sst xmlns="http://schemas.openxmlformats.org/spreadsheetml/2006/main" count="375" uniqueCount="183">
  <si>
    <t>INCOME STATEMENT</t>
  </si>
  <si>
    <t>Net sales</t>
  </si>
  <si>
    <t>Cost of sales</t>
  </si>
  <si>
    <t xml:space="preserve">  Gross profit</t>
  </si>
  <si>
    <t>Net interest expense</t>
  </si>
  <si>
    <t xml:space="preserve">  EBIT</t>
  </si>
  <si>
    <t xml:space="preserve">  EBT</t>
  </si>
  <si>
    <t>Income taxes</t>
  </si>
  <si>
    <t xml:space="preserve">  Net earnings</t>
  </si>
  <si>
    <t>BALANCE SHEET</t>
  </si>
  <si>
    <t>Cash and ST investments</t>
  </si>
  <si>
    <t>Accounts receivable</t>
  </si>
  <si>
    <t>Merchandise inventory</t>
  </si>
  <si>
    <t>Other current assets</t>
  </si>
  <si>
    <t xml:space="preserve">  Total current assets</t>
  </si>
  <si>
    <t>Net property and equipment</t>
  </si>
  <si>
    <t>Other assets</t>
  </si>
  <si>
    <t xml:space="preserve">  Total assets</t>
  </si>
  <si>
    <t>Accounts payable</t>
  </si>
  <si>
    <t>Accrued salaries and wages</t>
  </si>
  <si>
    <t>Short-term borrowings</t>
  </si>
  <si>
    <t>Current maturities of long-term debt</t>
  </si>
  <si>
    <t>Other current liabilities</t>
  </si>
  <si>
    <t xml:space="preserve">  Current liabilities</t>
  </si>
  <si>
    <t>Deferred income taxes</t>
  </si>
  <si>
    <t>Other long-term liabilities</t>
  </si>
  <si>
    <t>Minority interest</t>
  </si>
  <si>
    <t>Shareholders' equity</t>
  </si>
  <si>
    <t>Number of stores</t>
  </si>
  <si>
    <t>Number of employees</t>
  </si>
  <si>
    <t>Number of  transactions (M)</t>
  </si>
  <si>
    <t>Sq. footage (M)</t>
  </si>
  <si>
    <t>PROFITABILITY</t>
  </si>
  <si>
    <t>Fixed assets</t>
  </si>
  <si>
    <t>MARGINS</t>
  </si>
  <si>
    <t>Gross margin</t>
  </si>
  <si>
    <t>Depreciation/Sales</t>
  </si>
  <si>
    <t>Cash operating expenses/Sales</t>
  </si>
  <si>
    <t>Depreciation/P&amp;E</t>
  </si>
  <si>
    <t>TURNOVER</t>
  </si>
  <si>
    <t>Receivable turnover</t>
  </si>
  <si>
    <t>Inventory turnover</t>
  </si>
  <si>
    <t>GROWTH</t>
  </si>
  <si>
    <t>Total sales growth</t>
  </si>
  <si>
    <t>Sales growth for existing stores</t>
  </si>
  <si>
    <t>Growth in new stores</t>
  </si>
  <si>
    <t>Growth in sq footage per store</t>
  </si>
  <si>
    <t>($ millions)</t>
  </si>
  <si>
    <t>Cash operating expenses (1)</t>
  </si>
  <si>
    <t>Lowe's</t>
  </si>
  <si>
    <t>Sales</t>
  </si>
  <si>
    <t>The Home Depot</t>
  </si>
  <si>
    <t>Exhibit 7</t>
  </si>
  <si>
    <t>2002E</t>
  </si>
  <si>
    <t>2003E</t>
  </si>
  <si>
    <t>2004E</t>
  </si>
  <si>
    <t>2005E</t>
  </si>
  <si>
    <t>2006E</t>
  </si>
  <si>
    <t xml:space="preserve">      Fiscal year</t>
  </si>
  <si>
    <t>Income tax rate</t>
  </si>
  <si>
    <t>FORECAST</t>
  </si>
  <si>
    <t>ASSUMPTIONS</t>
  </si>
  <si>
    <t>Cash operating expenses</t>
  </si>
  <si>
    <t xml:space="preserve">  NOPAT</t>
  </si>
  <si>
    <t>Cash &amp; ST Inv/Sales</t>
  </si>
  <si>
    <t>Payables/COGS</t>
  </si>
  <si>
    <t>P&amp;E Turnover</t>
  </si>
  <si>
    <t>Other curr liab/Sales</t>
  </si>
  <si>
    <t>Working capital</t>
  </si>
  <si>
    <t>(1) Includes operating lease payments of $262 million in 1997, $321 million in 1998, $389 million in 1999, $479 million in 2000, and $522 in 2001.</t>
  </si>
  <si>
    <t>(1) Includes operating lease payments of $59 million in 1997, $89 million in 1998, $144 million in 1999, $162 million in 2000, and $188 in 2001.</t>
  </si>
  <si>
    <t>Fiscal year</t>
  </si>
  <si>
    <t>(1)  Excludes Apex Supply Company, Georgia Lighting, Maintenance Warehouse, Your "other" Warehouse, and National Blinds and Wallpaper.</t>
  </si>
  <si>
    <t>Number of stores (1)</t>
  </si>
  <si>
    <t>Total capital</t>
  </si>
  <si>
    <t>Current yield on long-term U.S. Treasuries</t>
  </si>
  <si>
    <t>Historical market risk premium</t>
  </si>
  <si>
    <t>Long-term debt</t>
  </si>
  <si>
    <t xml:space="preserve">   Total liab. and owner's equity</t>
  </si>
  <si>
    <t>Tax rate</t>
  </si>
  <si>
    <t>Return on capital (NOPAT/Total capital)</t>
  </si>
  <si>
    <t>Return on equity (Net earnings/S. Equity)</t>
  </si>
  <si>
    <t xml:space="preserve"> Total capital</t>
  </si>
  <si>
    <t xml:space="preserve"> NOPAT (EBIT*(1-t))</t>
  </si>
  <si>
    <t>Gross margin (Gross profit/Sales)</t>
  </si>
  <si>
    <t>Operating margin (EBIT/Sales)</t>
  </si>
  <si>
    <t>NOPAT margin (NOPAT/Sales)</t>
  </si>
  <si>
    <t>Total capital turnover (Sales/Total capital)</t>
  </si>
  <si>
    <t>P&amp;E turnover (Sales/P&amp;E)</t>
  </si>
  <si>
    <t>Working capital turnover (Sales/WC)</t>
  </si>
  <si>
    <t>Receivable turnover (Sales/AR)</t>
  </si>
  <si>
    <t>Inventory turnover (COGS/M. inventory)</t>
  </si>
  <si>
    <t>Sales per store ($ millions)</t>
  </si>
  <si>
    <t>Sales per sq foot ($)</t>
  </si>
  <si>
    <t>Sales per transaction ($)</t>
  </si>
  <si>
    <t>Exhibit 1</t>
  </si>
  <si>
    <t>Exhibit 4</t>
  </si>
  <si>
    <t>Depreciation &amp; amortization</t>
  </si>
  <si>
    <t>Exhibit 5</t>
  </si>
  <si>
    <t>Non-recurring expenses</t>
  </si>
  <si>
    <t>Exhibit 8</t>
  </si>
  <si>
    <t>VALUE LINE, OCTOBER 2002</t>
  </si>
  <si>
    <t>Retail Building Supply Industry Sales</t>
  </si>
  <si>
    <t>Sales ($billions)</t>
  </si>
  <si>
    <t>Hardware</t>
  </si>
  <si>
    <t>Home Centers</t>
  </si>
  <si>
    <t>Lumber</t>
  </si>
  <si>
    <t>Total Market</t>
  </si>
  <si>
    <t xml:space="preserve">Share of Market </t>
  </si>
  <si>
    <t>Home Depot Inc</t>
  </si>
  <si>
    <t>Lowe's Companies</t>
  </si>
  <si>
    <t>TruServe Corp</t>
  </si>
  <si>
    <t>Menard Inc</t>
  </si>
  <si>
    <t>Source: Economist Intelligence Unit</t>
  </si>
  <si>
    <t>Exhibit 6</t>
  </si>
  <si>
    <t>Value Line Economic Series</t>
  </si>
  <si>
    <t>Annual Statistics</t>
  </si>
  <si>
    <t>2002*</t>
  </si>
  <si>
    <t>2003*</t>
  </si>
  <si>
    <t>2005-2007*</t>
  </si>
  <si>
    <t>Gross Domestic Product ($Bill.)</t>
  </si>
  <si>
    <t>Real GDP (1996 Chained $Bill.)</t>
  </si>
  <si>
    <t>Total Consumption ($Bill.)</t>
  </si>
  <si>
    <t>Nonresidential Fixed Investment ($Bill.)</t>
  </si>
  <si>
    <t>Industrial Prod. (% Change, Annualized)</t>
  </si>
  <si>
    <t>Housing Starts (Mill. Units)</t>
  </si>
  <si>
    <t>Unit Car Sales (Mill. Units)</t>
  </si>
  <si>
    <t>Personal Savings Rate (%)</t>
  </si>
  <si>
    <t>National Unemployment Rate (%)</t>
  </si>
  <si>
    <t>AAA Corp Bond Rate (%)</t>
  </si>
  <si>
    <t>10-Year Treasury Note Rate (%)</t>
  </si>
  <si>
    <t>3-Month Treasury Bill Rate (%)</t>
  </si>
  <si>
    <t>Annual Rates of Change</t>
  </si>
  <si>
    <t>Real GDP</t>
  </si>
  <si>
    <t>GDP Price Index</t>
  </si>
  <si>
    <t>Consumer Price Index</t>
  </si>
  <si>
    <t>Quarterly Annualized Rates</t>
  </si>
  <si>
    <t>1st</t>
  </si>
  <si>
    <t>2nd*</t>
  </si>
  <si>
    <t>3rd*</t>
  </si>
  <si>
    <t>4th*</t>
  </si>
  <si>
    <t>1st*</t>
  </si>
  <si>
    <t>Industrial Production (% Change, Annualized)</t>
  </si>
  <si>
    <t>*Estimated</t>
  </si>
  <si>
    <t>Source: Value Line Publishing</t>
  </si>
  <si>
    <t>LEVERAGE</t>
  </si>
  <si>
    <t>Total Capital/Equity</t>
  </si>
  <si>
    <t>Return on capital</t>
  </si>
  <si>
    <t>Current liabilities</t>
  </si>
  <si>
    <t>VALUE LINE PUBLISHING, OCTOBER 2002</t>
  </si>
  <si>
    <t>Financial Statements for Lowe's</t>
  </si>
  <si>
    <t>Financial Statements for Home Depot</t>
  </si>
  <si>
    <t>Ratio Analysis for Home Depot</t>
  </si>
  <si>
    <t>Working capital (CA-NIBCL*)</t>
  </si>
  <si>
    <t>*Non-interest-bearing current liabilities</t>
  </si>
  <si>
    <t>Financial Forecast for Home Depot</t>
  </si>
  <si>
    <t>Copyright (C) 2003, by the University of Virginia Darden School Foundation.</t>
  </si>
  <si>
    <t>Cost of equity (Beta=1.4)</t>
  </si>
  <si>
    <t>Proportion of debt capital (market value)</t>
  </si>
  <si>
    <t>Cost of debt (Current yields of Aaa-rated debt)</t>
  </si>
  <si>
    <t>Cost of debt (Current yields of Aa-rated debt)</t>
  </si>
  <si>
    <t>Marginal tax rate</t>
  </si>
  <si>
    <t>Weighted average cost of capital</t>
  </si>
  <si>
    <t>Exhibit 3</t>
  </si>
  <si>
    <t>Cost of capital calculation</t>
  </si>
  <si>
    <t>Exhibit TN1</t>
  </si>
  <si>
    <t>Working capital (CA-NIBCLs)</t>
  </si>
  <si>
    <t>Exhibit TN2</t>
  </si>
  <si>
    <t>Exhibit TN3</t>
  </si>
  <si>
    <t>Performance comparison--The Home Depot vs. Lowe's 2001</t>
  </si>
  <si>
    <t>Ratio anlaysis--Lowe's</t>
  </si>
  <si>
    <t>Financial forecast--Lowe's</t>
  </si>
  <si>
    <t>Industry</t>
  </si>
  <si>
    <t>HD</t>
  </si>
  <si>
    <t>LOW</t>
  </si>
  <si>
    <t>Rest of market</t>
  </si>
  <si>
    <t>Revenue</t>
  </si>
  <si>
    <t>Exhibit TN4</t>
  </si>
  <si>
    <t>Forecast market share of retail building supply market</t>
  </si>
  <si>
    <t>VLOCT2002TN.XLS</t>
  </si>
  <si>
    <t>Exhibit 2</t>
  </si>
  <si>
    <t>Revised, November 14, 2007</t>
  </si>
  <si>
    <r>
      <t xml:space="preserve">This spreadsheet supports </t>
    </r>
    <r>
      <rPr>
        <b/>
        <sz val="10"/>
        <color indexed="10"/>
        <rFont val="Arial"/>
        <family val="2"/>
      </rPr>
      <t>INSTRUCTOR</t>
    </r>
    <r>
      <rPr>
        <b/>
        <sz val="10"/>
        <rFont val="Arial"/>
        <family val="2"/>
      </rPr>
      <t xml:space="preserve"> analysis of the case, "Value Line Publishing, October 2002"  (Case 10).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</si>
</sst>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%"/>
    <numFmt numFmtId="165" formatCode="_(* #,##0_);_(* \(#,##0\);_(* &quot;-&quot;??_);_(@_)"/>
    <numFmt numFmtId="166" formatCode="mm/dd/yy"/>
    <numFmt numFmtId="167" formatCode="_(* #,##0.0_);_(* \(#,##0.0\);_(* &quot;-&quot;??_);_(@_)"/>
    <numFmt numFmtId="168" formatCode="0.0"/>
  </numFmts>
  <fonts count="20" x14ac:knownFonts="1">
    <font>
      <sz val="10"/>
      <name val="Times New Roman"/>
    </font>
    <font>
      <sz val="10"/>
      <name val="Times New Roman"/>
    </font>
    <font>
      <sz val="10"/>
      <name val="Times New Roman"/>
      <family val="1"/>
    </font>
    <font>
      <b/>
      <sz val="10"/>
      <name val="Times New Roman"/>
      <family val="1"/>
    </font>
    <font>
      <u/>
      <sz val="10"/>
      <name val="Times New Roman"/>
      <family val="1"/>
    </font>
    <font>
      <sz val="12"/>
      <name val="Times New Roman"/>
      <family val="1"/>
    </font>
    <font>
      <sz val="12"/>
      <name val="Times"/>
    </font>
    <font>
      <b/>
      <sz val="12"/>
      <name val="Times"/>
    </font>
    <font>
      <b/>
      <sz val="12"/>
      <color indexed="8"/>
      <name val="Times"/>
    </font>
    <font>
      <sz val="12"/>
      <color indexed="8"/>
      <name val="Times"/>
    </font>
    <font>
      <sz val="8"/>
      <name val="Times New Roman"/>
      <family val="1"/>
    </font>
    <font>
      <sz val="10"/>
      <name val="Times"/>
    </font>
    <font>
      <b/>
      <sz val="10"/>
      <name val="Times"/>
    </font>
    <font>
      <u/>
      <sz val="10"/>
      <name val="Times New Roman"/>
      <family val="1"/>
    </font>
    <font>
      <sz val="10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12"/>
      <name val="Times New Roman"/>
      <family val="1"/>
    </font>
    <font>
      <u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3">
    <xf numFmtId="0" fontId="0" fillId="0" borderId="0" xfId="0"/>
    <xf numFmtId="0" fontId="2" fillId="0" borderId="0" xfId="0" applyFont="1" applyAlignment="1" applyProtection="1">
      <alignment horizontal="left"/>
    </xf>
    <xf numFmtId="0" fontId="2" fillId="0" borderId="0" xfId="0" applyFont="1"/>
    <xf numFmtId="0" fontId="2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Alignment="1" applyProtection="1">
      <alignment horizontal="left"/>
    </xf>
    <xf numFmtId="0" fontId="3" fillId="0" borderId="0" xfId="0" applyFont="1"/>
    <xf numFmtId="37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3" fontId="2" fillId="0" borderId="0" xfId="0" applyNumberFormat="1" applyFont="1"/>
    <xf numFmtId="3" fontId="4" fillId="0" borderId="0" xfId="0" applyNumberFormat="1" applyFont="1"/>
    <xf numFmtId="167" fontId="2" fillId="0" borderId="0" xfId="1" applyNumberFormat="1" applyFont="1"/>
    <xf numFmtId="165" fontId="2" fillId="0" borderId="0" xfId="1" applyNumberFormat="1" applyFont="1"/>
    <xf numFmtId="164" fontId="2" fillId="0" borderId="0" xfId="2" applyNumberFormat="1" applyFont="1"/>
    <xf numFmtId="165" fontId="2" fillId="0" borderId="0" xfId="0" applyNumberFormat="1" applyFont="1"/>
    <xf numFmtId="3" fontId="2" fillId="0" borderId="0" xfId="0" applyNumberFormat="1" applyFont="1" applyAlignment="1" applyProtection="1">
      <alignment horizontal="left"/>
    </xf>
    <xf numFmtId="3" fontId="2" fillId="0" borderId="0" xfId="0" applyNumberFormat="1" applyFont="1" applyAlignment="1">
      <alignment horizontal="centerContinuous"/>
    </xf>
    <xf numFmtId="3" fontId="2" fillId="0" borderId="0" xfId="0" applyNumberFormat="1" applyFont="1" applyAlignment="1">
      <alignment horizontal="center"/>
    </xf>
    <xf numFmtId="3" fontId="3" fillId="0" borderId="0" xfId="0" applyNumberFormat="1" applyFont="1" applyAlignment="1" applyProtection="1">
      <alignment horizontal="left"/>
    </xf>
    <xf numFmtId="3" fontId="2" fillId="0" borderId="0" xfId="1" applyNumberFormat="1" applyFont="1"/>
    <xf numFmtId="3" fontId="0" fillId="0" borderId="0" xfId="0" applyNumberFormat="1"/>
    <xf numFmtId="166" fontId="2" fillId="0" borderId="0" xfId="0" applyNumberFormat="1" applyFont="1"/>
    <xf numFmtId="9" fontId="0" fillId="0" borderId="0" xfId="2" applyFont="1"/>
    <xf numFmtId="164" fontId="0" fillId="0" borderId="0" xfId="2" applyNumberFormat="1" applyFont="1"/>
    <xf numFmtId="1" fontId="2" fillId="0" borderId="0" xfId="0" applyNumberFormat="1" applyFont="1" applyAlignment="1">
      <alignment horizontal="right"/>
    </xf>
    <xf numFmtId="164" fontId="2" fillId="0" borderId="0" xfId="2" applyNumberFormat="1" applyFont="1" applyAlignment="1">
      <alignment horizontal="right"/>
    </xf>
    <xf numFmtId="164" fontId="2" fillId="0" borderId="0" xfId="2" applyNumberFormat="1" applyFont="1" applyAlignment="1">
      <alignment horizontal="left"/>
    </xf>
    <xf numFmtId="167" fontId="2" fillId="0" borderId="0" xfId="1" applyNumberFormat="1" applyFont="1" applyAlignment="1">
      <alignment horizontal="right"/>
    </xf>
    <xf numFmtId="1" fontId="3" fillId="0" borderId="0" xfId="0" applyNumberFormat="1" applyFont="1" applyAlignment="1">
      <alignment horizontal="left"/>
    </xf>
    <xf numFmtId="0" fontId="11" fillId="0" borderId="0" xfId="0" applyFont="1"/>
    <xf numFmtId="0" fontId="12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164" fontId="0" fillId="0" borderId="0" xfId="0" applyNumberFormat="1"/>
    <xf numFmtId="1" fontId="3" fillId="0" borderId="0" xfId="1" applyNumberFormat="1" applyFont="1" applyAlignment="1">
      <alignment horizontal="right"/>
    </xf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right" vertical="top" wrapText="1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right" vertical="top" wrapText="1"/>
    </xf>
    <xf numFmtId="10" fontId="9" fillId="0" borderId="0" xfId="0" applyNumberFormat="1" applyFont="1" applyAlignment="1">
      <alignment horizontal="right" vertical="top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justify"/>
    </xf>
    <xf numFmtId="0" fontId="12" fillId="0" borderId="0" xfId="0" applyFont="1" applyAlignment="1">
      <alignment wrapText="1"/>
    </xf>
    <xf numFmtId="0" fontId="12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2" fillId="0" borderId="0" xfId="0" applyFont="1" applyAlignment="1">
      <alignment horizontal="center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left" wrapText="1"/>
    </xf>
    <xf numFmtId="164" fontId="3" fillId="0" borderId="0" xfId="2" applyNumberFormat="1" applyFont="1"/>
    <xf numFmtId="43" fontId="2" fillId="0" borderId="0" xfId="1" applyNumberFormat="1" applyFont="1"/>
    <xf numFmtId="1" fontId="3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13" fillId="0" borderId="0" xfId="0" applyNumberFormat="1" applyFont="1"/>
    <xf numFmtId="168" fontId="0" fillId="0" borderId="0" xfId="0" applyNumberFormat="1"/>
    <xf numFmtId="43" fontId="2" fillId="0" borderId="0" xfId="1" applyFont="1" applyAlignment="1">
      <alignment horizontal="right"/>
    </xf>
    <xf numFmtId="164" fontId="2" fillId="0" borderId="1" xfId="2" applyNumberFormat="1" applyFont="1" applyBorder="1"/>
    <xf numFmtId="167" fontId="11" fillId="0" borderId="0" xfId="1" applyNumberFormat="1" applyFont="1" applyAlignment="1">
      <alignment horizontal="right" wrapText="1"/>
    </xf>
    <xf numFmtId="0" fontId="5" fillId="0" borderId="0" xfId="0" applyFont="1" applyAlignment="1">
      <alignment horizontal="centerContinuous"/>
    </xf>
    <xf numFmtId="37" fontId="5" fillId="0" borderId="0" xfId="0" applyNumberFormat="1" applyFont="1" applyAlignment="1">
      <alignment horizontal="center"/>
    </xf>
    <xf numFmtId="3" fontId="5" fillId="0" borderId="0" xfId="0" applyNumberFormat="1" applyFont="1" applyAlignment="1">
      <alignment horizontal="centerContinuous"/>
    </xf>
    <xf numFmtId="3" fontId="5" fillId="0" borderId="0" xfId="0" applyNumberFormat="1" applyFont="1" applyAlignment="1">
      <alignment horizontal="center"/>
    </xf>
    <xf numFmtId="0" fontId="14" fillId="0" borderId="0" xfId="0" applyFont="1"/>
    <xf numFmtId="0" fontId="14" fillId="2" borderId="2" xfId="0" applyFont="1" applyFill="1" applyBorder="1"/>
    <xf numFmtId="0" fontId="14" fillId="2" borderId="3" xfId="0" applyFont="1" applyFill="1" applyBorder="1"/>
    <xf numFmtId="0" fontId="14" fillId="2" borderId="4" xfId="0" applyFont="1" applyFill="1" applyBorder="1"/>
    <xf numFmtId="0" fontId="15" fillId="0" borderId="0" xfId="0" applyFont="1"/>
    <xf numFmtId="0" fontId="14" fillId="2" borderId="5" xfId="0" applyFont="1" applyFill="1" applyBorder="1"/>
    <xf numFmtId="0" fontId="16" fillId="2" borderId="0" xfId="0" quotePrefix="1" applyFont="1" applyFill="1" applyBorder="1" applyAlignment="1">
      <alignment horizontal="left" wrapText="1"/>
    </xf>
    <xf numFmtId="0" fontId="14" fillId="2" borderId="6" xfId="0" applyFont="1" applyFill="1" applyBorder="1"/>
    <xf numFmtId="0" fontId="16" fillId="2" borderId="0" xfId="0" applyFont="1" applyFill="1" applyBorder="1"/>
    <xf numFmtId="0" fontId="14" fillId="2" borderId="7" xfId="0" applyFont="1" applyFill="1" applyBorder="1"/>
    <xf numFmtId="0" fontId="14" fillId="2" borderId="8" xfId="0" applyFont="1" applyFill="1" applyBorder="1"/>
    <xf numFmtId="0" fontId="14" fillId="2" borderId="9" xfId="0" applyFont="1" applyFill="1" applyBorder="1"/>
    <xf numFmtId="0" fontId="5" fillId="0" borderId="0" xfId="0" applyFont="1"/>
    <xf numFmtId="1" fontId="18" fillId="0" borderId="0" xfId="1" applyNumberFormat="1" applyFont="1" applyAlignment="1">
      <alignment horizontal="right"/>
    </xf>
    <xf numFmtId="165" fontId="5" fillId="0" borderId="0" xfId="1" applyNumberFormat="1" applyFont="1"/>
    <xf numFmtId="164" fontId="5" fillId="0" borderId="0" xfId="2" applyNumberFormat="1" applyFont="1"/>
    <xf numFmtId="0" fontId="18" fillId="0" borderId="0" xfId="0" applyFont="1" applyAlignment="1" applyProtection="1">
      <alignment horizontal="left"/>
    </xf>
    <xf numFmtId="166" fontId="5" fillId="0" borderId="0" xfId="0" applyNumberFormat="1" applyFont="1" applyAlignment="1">
      <alignment horizontal="center"/>
    </xf>
    <xf numFmtId="3" fontId="5" fillId="0" borderId="0" xfId="0" applyNumberFormat="1" applyFont="1"/>
    <xf numFmtId="3" fontId="19" fillId="0" borderId="0" xfId="0" applyNumberFormat="1" applyFont="1"/>
    <xf numFmtId="167" fontId="5" fillId="0" borderId="0" xfId="1" applyNumberFormat="1" applyFont="1"/>
    <xf numFmtId="168" fontId="5" fillId="0" borderId="0" xfId="0" applyNumberFormat="1" applyFont="1"/>
    <xf numFmtId="0" fontId="18" fillId="0" borderId="0" xfId="0" applyFont="1"/>
    <xf numFmtId="164" fontId="18" fillId="0" borderId="0" xfId="2" applyNumberFormat="1" applyFont="1"/>
    <xf numFmtId="43" fontId="5" fillId="0" borderId="0" xfId="1" applyNumberFormat="1" applyFont="1"/>
    <xf numFmtId="4" fontId="2" fillId="0" borderId="0" xfId="0" applyNumberFormat="1" applyFont="1"/>
    <xf numFmtId="164" fontId="0" fillId="0" borderId="1" xfId="2" applyNumberFormat="1" applyFont="1" applyBorder="1"/>
    <xf numFmtId="1" fontId="0" fillId="0" borderId="0" xfId="0" applyNumberFormat="1"/>
    <xf numFmtId="168" fontId="11" fillId="0" borderId="0" xfId="0" applyNumberFormat="1" applyFont="1" applyAlignment="1">
      <alignment horizontal="right"/>
    </xf>
    <xf numFmtId="167" fontId="11" fillId="0" borderId="0" xfId="1" applyNumberFormat="1" applyFont="1"/>
    <xf numFmtId="0" fontId="12" fillId="0" borderId="0" xfId="0" applyFont="1"/>
    <xf numFmtId="0" fontId="11" fillId="0" borderId="0" xfId="0" applyFont="1"/>
    <xf numFmtId="37" fontId="3" fillId="0" borderId="0" xfId="0" applyNumberFormat="1" applyFont="1" applyAlignment="1">
      <alignment horizontal="center"/>
    </xf>
    <xf numFmtId="0" fontId="12" fillId="0" borderId="0" xfId="0" applyFont="1" applyAlignment="1">
      <alignment wrapText="1"/>
    </xf>
    <xf numFmtId="0" fontId="12" fillId="0" borderId="0" xfId="0" applyFont="1" applyAlignment="1">
      <alignment horizontal="center" wrapText="1"/>
    </xf>
    <xf numFmtId="37" fontId="2" fillId="0" borderId="0" xfId="0" applyNumberFormat="1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customXml" Target="../customXml/item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7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Forecast Revenue Growth</a:t>
            </a:r>
          </a:p>
        </c:rich>
      </c:tx>
      <c:layout>
        <c:manualLayout>
          <c:xMode val="edge"/>
          <c:yMode val="edge"/>
          <c:x val="0.43560606060606061"/>
          <c:y val="5.691056910569105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8712229803336985E-2"/>
          <c:y val="0.31707568816444504"/>
          <c:w val="0.74621350137144393"/>
          <c:h val="0.42276758421925992"/>
        </c:manualLayout>
      </c:layout>
      <c:lineChart>
        <c:grouping val="standard"/>
        <c:varyColors val="0"/>
        <c:ser>
          <c:idx val="0"/>
          <c:order val="0"/>
          <c:tx>
            <c:strRef>
              <c:f>'[1]Forecast Comps'!$C$14</c:f>
              <c:strCache>
                <c:ptCount val="1"/>
                <c:pt idx="0">
                  <c:v>HD</c:v>
                </c:pt>
              </c:strCache>
            </c:strRef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ymbol val="none"/>
          </c:marker>
          <c:cat>
            <c:numRef>
              <c:f>'[1]Forecast Comps'!$D$13:$L$13</c:f>
              <c:numCache>
                <c:formatCode>General</c:formatCode>
                <c:ptCount val="9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</c:numCache>
            </c:numRef>
          </c:cat>
          <c:val>
            <c:numRef>
              <c:f>'[1]Forecast Comps'!$D$14:$L$14</c:f>
              <c:numCache>
                <c:formatCode>General</c:formatCode>
                <c:ptCount val="9"/>
                <c:pt idx="0">
                  <c:v>0.25099354197714874</c:v>
                </c:pt>
                <c:pt idx="1">
                  <c:v>0.27184883682451422</c:v>
                </c:pt>
                <c:pt idx="2">
                  <c:v>0.19004006868918144</c:v>
                </c:pt>
                <c:pt idx="3">
                  <c:v>0.17086448904630713</c:v>
                </c:pt>
                <c:pt idx="4">
                  <c:v>0.18003750937734431</c:v>
                </c:pt>
                <c:pt idx="5">
                  <c:v>0.1717677756033924</c:v>
                </c:pt>
                <c:pt idx="6">
                  <c:v>0.17299999999999982</c:v>
                </c:pt>
                <c:pt idx="7">
                  <c:v>0.15300000000000002</c:v>
                </c:pt>
                <c:pt idx="8">
                  <c:v>0.13829999999999987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'[1]Forecast Comps'!$C$15</c:f>
              <c:strCache>
                <c:ptCount val="1"/>
                <c:pt idx="0">
                  <c:v>LOW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'[1]Forecast Comps'!$D$13:$L$13</c:f>
              <c:numCache>
                <c:formatCode>General</c:formatCode>
                <c:ptCount val="9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</c:numCache>
            </c:numRef>
          </c:cat>
          <c:val>
            <c:numRef>
              <c:f>'[1]Forecast Comps'!$D$15:$L$15</c:f>
              <c:numCache>
                <c:formatCode>General</c:formatCode>
                <c:ptCount val="9"/>
                <c:pt idx="0">
                  <c:v>0.20795253771127054</c:v>
                </c:pt>
                <c:pt idx="1">
                  <c:v>0.29895861797606527</c:v>
                </c:pt>
                <c:pt idx="2">
                  <c:v>0.18062599984470884</c:v>
                </c:pt>
                <c:pt idx="3">
                  <c:v>0.17746564046794</c:v>
                </c:pt>
                <c:pt idx="4">
                  <c:v>0.19859999999999967</c:v>
                </c:pt>
                <c:pt idx="5">
                  <c:v>0.18480000000000008</c:v>
                </c:pt>
                <c:pt idx="6">
                  <c:v>0.17699999999999982</c:v>
                </c:pt>
                <c:pt idx="7">
                  <c:v>0.17900000000000005</c:v>
                </c:pt>
                <c:pt idx="8">
                  <c:v>0.19399999999999995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'[1]Forecast Comps'!$C$16</c:f>
              <c:strCache>
                <c:ptCount val="1"/>
                <c:pt idx="0">
                  <c:v>Rest of market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Ref>
              <c:f>'[1]Forecast Comps'!$D$13:$L$13</c:f>
              <c:numCache>
                <c:formatCode>General</c:formatCode>
                <c:ptCount val="9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</c:numCache>
            </c:numRef>
          </c:cat>
          <c:val>
            <c:numRef>
              <c:f>'[1]Forecast Comps'!$D$16:$L$16</c:f>
              <c:numCache>
                <c:formatCode>General</c:formatCode>
                <c:ptCount val="9"/>
                <c:pt idx="0">
                  <c:v>2.4199387008214224E-2</c:v>
                </c:pt>
                <c:pt idx="1">
                  <c:v>-1.5655584594351901E-2</c:v>
                </c:pt>
                <c:pt idx="2">
                  <c:v>-1.7814699934002642E-2</c:v>
                </c:pt>
                <c:pt idx="3">
                  <c:v>-4.7810054943959623E-2</c:v>
                </c:pt>
                <c:pt idx="4">
                  <c:v>-0.1018188863453422</c:v>
                </c:pt>
                <c:pt idx="5">
                  <c:v>-0.1434852063908274</c:v>
                </c:pt>
                <c:pt idx="6">
                  <c:v>-0.20134070326645714</c:v>
                </c:pt>
                <c:pt idx="7">
                  <c:v>-0.27660132168708651</c:v>
                </c:pt>
                <c:pt idx="8">
                  <c:v>-0.36127612831254696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711488"/>
        <c:axId val="127717376"/>
      </c:lineChart>
      <c:catAx>
        <c:axId val="127711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37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27717376"/>
        <c:crossesAt val="-0.4"/>
        <c:auto val="1"/>
        <c:lblAlgn val="ctr"/>
        <c:lblOffset val="100"/>
        <c:tickLblSkip val="1"/>
        <c:tickMarkSkip val="1"/>
        <c:noMultiLvlLbl val="0"/>
      </c:catAx>
      <c:valAx>
        <c:axId val="1277173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7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27711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575916646782777"/>
          <c:y val="0.39024731664639484"/>
          <c:w val="0.15909110792969061"/>
          <c:h val="0.2764253248831701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34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75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36798309467682"/>
          <c:y val="7.9283986477964252E-2"/>
          <c:w val="0.57525130582680051"/>
          <c:h val="0.72634361805618874"/>
        </c:manualLayout>
      </c:layout>
      <c:areaChart>
        <c:grouping val="stacked"/>
        <c:varyColors val="0"/>
        <c:ser>
          <c:idx val="0"/>
          <c:order val="0"/>
          <c:tx>
            <c:strRef>
              <c:f>'Exh TN4'!$B$32</c:f>
              <c:strCache>
                <c:ptCount val="1"/>
                <c:pt idx="0">
                  <c:v>HD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'Exh TN4'!$C$31:$L$31</c:f>
              <c:numCache>
                <c:formatCode>General</c:formatCode>
                <c:ptCount val="10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</c:numCache>
            </c:numRef>
          </c:cat>
          <c:val>
            <c:numRef>
              <c:f>'Exh TN4'!$C$32:$L$32</c:f>
              <c:numCache>
                <c:formatCode>0</c:formatCode>
                <c:ptCount val="10"/>
                <c:pt idx="0">
                  <c:v>24.155999999999999</c:v>
                </c:pt>
                <c:pt idx="1">
                  <c:v>30.219000000000001</c:v>
                </c:pt>
                <c:pt idx="2">
                  <c:v>38.433999999999997</c:v>
                </c:pt>
                <c:pt idx="3">
                  <c:v>45.738</c:v>
                </c:pt>
                <c:pt idx="4">
                  <c:v>53.552999999999997</c:v>
                </c:pt>
                <c:pt idx="5">
                  <c:v>63.194548739684919</c:v>
                </c:pt>
                <c:pt idx="6">
                  <c:v>74.049335806960755</c:v>
                </c:pt>
                <c:pt idx="7">
                  <c:v>86.85987090156496</c:v>
                </c:pt>
                <c:pt idx="8">
                  <c:v>100.14943114950441</c:v>
                </c:pt>
                <c:pt idx="9">
                  <c:v>114.00009747748086</c:v>
                </c:pt>
              </c:numCache>
            </c:numRef>
          </c:val>
        </c:ser>
        <c:ser>
          <c:idx val="1"/>
          <c:order val="1"/>
          <c:tx>
            <c:strRef>
              <c:f>'Exh TN4'!$B$33</c:f>
              <c:strCache>
                <c:ptCount val="1"/>
                <c:pt idx="0">
                  <c:v>LOW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'Exh TN4'!$C$31:$L$31</c:f>
              <c:numCache>
                <c:formatCode>General</c:formatCode>
                <c:ptCount val="10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</c:numCache>
            </c:numRef>
          </c:cat>
          <c:val>
            <c:numRef>
              <c:f>'Exh TN4'!$C$33:$L$33</c:f>
              <c:numCache>
                <c:formatCode>0</c:formatCode>
                <c:ptCount val="10"/>
                <c:pt idx="0">
                  <c:v>10.136889999999999</c:v>
                </c:pt>
                <c:pt idx="1">
                  <c:v>12.244882</c:v>
                </c:pt>
                <c:pt idx="2">
                  <c:v>15.905595</c:v>
                </c:pt>
                <c:pt idx="3">
                  <c:v>18.778559000000001</c:v>
                </c:pt>
                <c:pt idx="4">
                  <c:v>22.111108000000002</c:v>
                </c:pt>
                <c:pt idx="5">
                  <c:v>26.502374048799997</c:v>
                </c:pt>
                <c:pt idx="6">
                  <c:v>31.40001277301824</c:v>
                </c:pt>
                <c:pt idx="7">
                  <c:v>36.957815033842465</c:v>
                </c:pt>
                <c:pt idx="8">
                  <c:v>43.573263924900267</c:v>
                </c:pt>
                <c:pt idx="9">
                  <c:v>52.026477126330917</c:v>
                </c:pt>
              </c:numCache>
            </c:numRef>
          </c:val>
        </c:ser>
        <c:ser>
          <c:idx val="2"/>
          <c:order val="2"/>
          <c:tx>
            <c:strRef>
              <c:f>'Exh TN4'!$B$34</c:f>
              <c:strCache>
                <c:ptCount val="1"/>
                <c:pt idx="0">
                  <c:v>Rest of market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'Exh TN4'!$C$31:$L$31</c:f>
              <c:numCache>
                <c:formatCode>General</c:formatCode>
                <c:ptCount val="10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</c:numCache>
            </c:numRef>
          </c:cat>
          <c:val>
            <c:numRef>
              <c:f>'Exh TN4'!$C$34:$L$34</c:f>
              <c:numCache>
                <c:formatCode>0</c:formatCode>
                <c:ptCount val="10"/>
                <c:pt idx="0">
                  <c:v>104.50711000000001</c:v>
                </c:pt>
                <c:pt idx="1">
                  <c:v>107.03611800000002</c:v>
                </c:pt>
                <c:pt idx="2">
                  <c:v>105.36040499999999</c:v>
                </c:pt>
                <c:pt idx="3">
                  <c:v>103.483441</c:v>
                </c:pt>
                <c:pt idx="4">
                  <c:v>98.53589199999999</c:v>
                </c:pt>
                <c:pt idx="5">
                  <c:v>88.503077211515077</c:v>
                </c:pt>
                <c:pt idx="6">
                  <c:v>75.804194911597506</c:v>
                </c:pt>
                <c:pt idx="7">
                  <c:v>60.541724997548869</c:v>
                </c:pt>
                <c:pt idx="8">
                  <c:v>43.795803846010728</c:v>
                </c:pt>
                <c:pt idx="9">
                  <c:v>27.973425396188219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280064"/>
        <c:axId val="128281600"/>
      </c:areaChart>
      <c:catAx>
        <c:axId val="128280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281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2816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28006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3076975745924744"/>
          <c:y val="0.33759644494566055"/>
          <c:w val="0.25585301837270336"/>
          <c:h val="0.2097189385853622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38100</xdr:colOff>
      <xdr:row>28</xdr:row>
      <xdr:rowOff>123825</xdr:rowOff>
    </xdr:from>
    <xdr:to>
      <xdr:col>33</xdr:col>
      <xdr:colOff>266700</xdr:colOff>
      <xdr:row>36</xdr:row>
      <xdr:rowOff>0</xdr:rowOff>
    </xdr:to>
    <xdr:graphicFrame macro="">
      <xdr:nvGraphicFramePr>
        <xdr:cNvPr id="205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504825</xdr:colOff>
      <xdr:row>5</xdr:row>
      <xdr:rowOff>133350</xdr:rowOff>
    </xdr:from>
    <xdr:to>
      <xdr:col>11</xdr:col>
      <xdr:colOff>504825</xdr:colOff>
      <xdr:row>28</xdr:row>
      <xdr:rowOff>133350</xdr:rowOff>
    </xdr:to>
    <xdr:graphicFrame macro="">
      <xdr:nvGraphicFramePr>
        <xdr:cNvPr id="205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m3.darden.virginia.edu/Documents%20and%20Settings/alstons/Local%20Settings/Temporary%20Internet%20Files/Content.Outlook/5B4Q6OTQ/ValueLineT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ustry Data"/>
      <sheetName val="Company Data"/>
      <sheetName val="Cost of Capital"/>
      <sheetName val="HD Financials"/>
      <sheetName val="LOW Financials"/>
      <sheetName val="Economic Series"/>
      <sheetName val="HD Ratios"/>
      <sheetName val="LOW Ratios"/>
      <sheetName val="HD_LOW Ratio 01"/>
      <sheetName val="HD Forecast"/>
      <sheetName val="LOW Forecast"/>
      <sheetName val="Sensitivity analysis"/>
      <sheetName val="Forecast Comp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D13">
            <v>1998</v>
          </cell>
          <cell r="E13">
            <v>1999</v>
          </cell>
          <cell r="F13">
            <v>2000</v>
          </cell>
          <cell r="G13">
            <v>2001</v>
          </cell>
          <cell r="H13">
            <v>2002</v>
          </cell>
          <cell r="I13">
            <v>2003</v>
          </cell>
          <cell r="J13">
            <v>2004</v>
          </cell>
          <cell r="K13">
            <v>2005</v>
          </cell>
          <cell r="L13">
            <v>2006</v>
          </cell>
        </row>
        <row r="14">
          <cell r="C14" t="str">
            <v>HD</v>
          </cell>
          <cell r="D14">
            <v>0.25099354197714874</v>
          </cell>
          <cell r="E14">
            <v>0.27184883682451422</v>
          </cell>
          <cell r="F14">
            <v>0.19004006868918144</v>
          </cell>
          <cell r="G14">
            <v>0.17086448904630713</v>
          </cell>
          <cell r="H14">
            <v>0.18003750937734431</v>
          </cell>
          <cell r="I14">
            <v>0.1717677756033924</v>
          </cell>
          <cell r="J14">
            <v>0.17299999999999982</v>
          </cell>
          <cell r="K14">
            <v>0.15300000000000002</v>
          </cell>
          <cell r="L14">
            <v>0.13829999999999987</v>
          </cell>
        </row>
        <row r="15">
          <cell r="C15" t="str">
            <v>LOW</v>
          </cell>
          <cell r="D15">
            <v>0.20795253771127054</v>
          </cell>
          <cell r="E15">
            <v>0.29895861797606527</v>
          </cell>
          <cell r="F15">
            <v>0.18062599984470884</v>
          </cell>
          <cell r="G15">
            <v>0.17746564046794</v>
          </cell>
          <cell r="H15">
            <v>0.19859999999999967</v>
          </cell>
          <cell r="I15">
            <v>0.18480000000000008</v>
          </cell>
          <cell r="J15">
            <v>0.17699999999999982</v>
          </cell>
          <cell r="K15">
            <v>0.17900000000000005</v>
          </cell>
          <cell r="L15">
            <v>0.19399999999999995</v>
          </cell>
        </row>
        <row r="16">
          <cell r="C16" t="str">
            <v>Rest of market</v>
          </cell>
          <cell r="D16">
            <v>2.4199387008214224E-2</v>
          </cell>
          <cell r="E16">
            <v>-1.5655584594351901E-2</v>
          </cell>
          <cell r="F16">
            <v>-1.7814699934002642E-2</v>
          </cell>
          <cell r="G16">
            <v>-4.7810054943959623E-2</v>
          </cell>
          <cell r="H16">
            <v>-0.1018188863453422</v>
          </cell>
          <cell r="I16">
            <v>-0.1434852063908274</v>
          </cell>
          <cell r="J16">
            <v>-0.20134070326645714</v>
          </cell>
          <cell r="K16">
            <v>-0.27660132168708651</v>
          </cell>
          <cell r="L16">
            <v>-0.36127612831254696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/>
  </sheetViews>
  <sheetFormatPr defaultRowHeight="12.75" x14ac:dyDescent="0.2"/>
  <cols>
    <col min="2" max="2" width="8.5" customWidth="1"/>
    <col min="3" max="3" width="67.1640625" customWidth="1"/>
    <col min="4" max="4" width="8.5" customWidth="1"/>
  </cols>
  <sheetData>
    <row r="1" spans="1:4" x14ac:dyDescent="0.2">
      <c r="A1" s="67" t="s">
        <v>179</v>
      </c>
    </row>
    <row r="2" spans="1:4" ht="18" customHeight="1" thickBot="1" x14ac:dyDescent="0.25"/>
    <row r="3" spans="1:4" ht="16.5" customHeight="1" x14ac:dyDescent="0.2">
      <c r="B3" s="68"/>
      <c r="C3" s="69"/>
      <c r="D3" s="70"/>
    </row>
    <row r="4" spans="1:4" ht="28.5" customHeight="1" x14ac:dyDescent="0.2">
      <c r="A4" s="71"/>
      <c r="B4" s="72"/>
      <c r="C4" s="73" t="s">
        <v>182</v>
      </c>
      <c r="D4" s="74"/>
    </row>
    <row r="5" spans="1:4" x14ac:dyDescent="0.2">
      <c r="B5" s="72"/>
      <c r="C5" s="75"/>
      <c r="D5" s="74"/>
    </row>
    <row r="6" spans="1:4" ht="13.5" thickBot="1" x14ac:dyDescent="0.25">
      <c r="B6" s="76"/>
      <c r="C6" s="77"/>
      <c r="D6" s="78"/>
    </row>
    <row r="8" spans="1:4" x14ac:dyDescent="0.2">
      <c r="B8" s="2" t="s">
        <v>181</v>
      </c>
    </row>
    <row r="9" spans="1:4" ht="12" customHeight="1" x14ac:dyDescent="0.2">
      <c r="B9" t="s">
        <v>156</v>
      </c>
    </row>
  </sheetData>
  <phoneticPr fontId="10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9"/>
  <sheetViews>
    <sheetView workbookViewId="0"/>
  </sheetViews>
  <sheetFormatPr defaultRowHeight="12.75" x14ac:dyDescent="0.2"/>
  <cols>
    <col min="1" max="1" width="4.1640625" style="2" customWidth="1"/>
    <col min="2" max="2" width="31.5" style="2" customWidth="1"/>
    <col min="3" max="3" width="17.83203125" style="2" customWidth="1"/>
    <col min="4" max="4" width="14.83203125" style="2" customWidth="1"/>
    <col min="5" max="5" width="21" style="2" customWidth="1"/>
  </cols>
  <sheetData>
    <row r="1" spans="1:8" ht="15.75" x14ac:dyDescent="0.25">
      <c r="A1"/>
      <c r="B1"/>
      <c r="C1" s="34" t="s">
        <v>165</v>
      </c>
      <c r="D1"/>
      <c r="E1"/>
    </row>
    <row r="2" spans="1:8" ht="15.75" x14ac:dyDescent="0.25">
      <c r="A2"/>
      <c r="B2"/>
      <c r="C2" s="36"/>
      <c r="D2"/>
      <c r="E2"/>
    </row>
    <row r="3" spans="1:8" ht="15.75" x14ac:dyDescent="0.25">
      <c r="A3"/>
      <c r="B3"/>
      <c r="C3" s="37" t="s">
        <v>149</v>
      </c>
      <c r="D3"/>
      <c r="E3"/>
    </row>
    <row r="4" spans="1:8" s="2" customFormat="1" ht="12" customHeight="1" x14ac:dyDescent="0.2">
      <c r="A4" s="1"/>
      <c r="B4" s="3"/>
      <c r="C4" s="4"/>
      <c r="E4" s="3"/>
      <c r="F4" s="3"/>
      <c r="G4" s="3"/>
      <c r="H4" s="3"/>
    </row>
    <row r="5" spans="1:8" s="2" customFormat="1" ht="12" customHeight="1" x14ac:dyDescent="0.25">
      <c r="A5" s="1"/>
      <c r="B5" s="3"/>
      <c r="C5" s="63" t="s">
        <v>169</v>
      </c>
      <c r="E5" s="3"/>
      <c r="F5" s="3"/>
      <c r="G5" s="3"/>
      <c r="H5" s="3"/>
    </row>
    <row r="6" spans="1:8" x14ac:dyDescent="0.2">
      <c r="D6"/>
      <c r="E6"/>
    </row>
    <row r="7" spans="1:8" s="79" customFormat="1" ht="12.75" customHeight="1" x14ac:dyDescent="0.25">
      <c r="D7" s="80" t="s">
        <v>51</v>
      </c>
      <c r="E7" s="80" t="s">
        <v>49</v>
      </c>
    </row>
    <row r="8" spans="1:8" s="79" customFormat="1" ht="12.75" customHeight="1" x14ac:dyDescent="0.25">
      <c r="A8" s="79" t="s">
        <v>166</v>
      </c>
      <c r="D8" s="81">
        <v>3865</v>
      </c>
      <c r="E8" s="81">
        <v>2062.8210000000008</v>
      </c>
    </row>
    <row r="9" spans="1:8" s="79" customFormat="1" ht="12.75" customHeight="1" x14ac:dyDescent="0.25">
      <c r="A9" s="79" t="s">
        <v>33</v>
      </c>
      <c r="D9" s="81">
        <v>16033</v>
      </c>
      <c r="E9" s="81">
        <v>8815.8270000000011</v>
      </c>
    </row>
    <row r="10" spans="1:8" s="79" customFormat="1" ht="12.75" customHeight="1" x14ac:dyDescent="0.25">
      <c r="A10" s="79" t="s">
        <v>82</v>
      </c>
      <c r="D10" s="81">
        <v>19898</v>
      </c>
      <c r="E10" s="81">
        <v>10878.648000000001</v>
      </c>
    </row>
    <row r="11" spans="1:8" s="79" customFormat="1" ht="12.75" customHeight="1" x14ac:dyDescent="0.25">
      <c r="A11" s="79" t="s">
        <v>79</v>
      </c>
      <c r="D11" s="82">
        <v>0.38600000000000001</v>
      </c>
      <c r="E11" s="82">
        <v>0.37</v>
      </c>
    </row>
    <row r="12" spans="1:8" s="79" customFormat="1" ht="12.75" customHeight="1" x14ac:dyDescent="0.25">
      <c r="A12" s="79" t="s">
        <v>83</v>
      </c>
      <c r="D12" s="81">
        <v>3028.248</v>
      </c>
      <c r="E12" s="81">
        <v>1132.6064400000002</v>
      </c>
    </row>
    <row r="13" spans="1:8" s="79" customFormat="1" ht="12.75" customHeight="1" x14ac:dyDescent="0.25">
      <c r="A13" s="81"/>
      <c r="B13" s="81"/>
      <c r="C13" s="81"/>
      <c r="D13" s="81"/>
      <c r="E13" s="81"/>
    </row>
    <row r="14" spans="1:8" s="79" customFormat="1" ht="12.75" customHeight="1" x14ac:dyDescent="0.25">
      <c r="A14" s="83" t="s">
        <v>32</v>
      </c>
      <c r="D14" s="84"/>
      <c r="E14" s="84"/>
    </row>
    <row r="15" spans="1:8" s="79" customFormat="1" ht="12.75" customHeight="1" x14ac:dyDescent="0.25">
      <c r="A15" s="82"/>
      <c r="B15" s="82" t="s">
        <v>80</v>
      </c>
      <c r="C15" s="82"/>
      <c r="D15" s="82">
        <v>0.15218856166448891</v>
      </c>
      <c r="E15" s="82">
        <v>0.10411279416339238</v>
      </c>
    </row>
    <row r="16" spans="1:8" s="79" customFormat="1" ht="12.75" customHeight="1" x14ac:dyDescent="0.25">
      <c r="A16" s="82"/>
      <c r="B16" s="82" t="s">
        <v>81</v>
      </c>
      <c r="C16" s="82"/>
      <c r="D16" s="82">
        <v>0.16834420971131511</v>
      </c>
      <c r="E16" s="82">
        <v>0.15346031922968248</v>
      </c>
    </row>
    <row r="17" spans="1:5" s="79" customFormat="1" ht="12.75" customHeight="1" x14ac:dyDescent="0.25">
      <c r="A17" s="85"/>
      <c r="B17" s="85"/>
      <c r="C17" s="85"/>
      <c r="D17" s="85"/>
      <c r="E17" s="85"/>
    </row>
    <row r="18" spans="1:5" s="79" customFormat="1" ht="12.75" customHeight="1" x14ac:dyDescent="0.25">
      <c r="A18" s="83" t="s">
        <v>34</v>
      </c>
      <c r="D18" s="84"/>
      <c r="E18" s="84"/>
    </row>
    <row r="19" spans="1:5" s="79" customFormat="1" ht="12.75" customHeight="1" x14ac:dyDescent="0.25">
      <c r="A19" s="82"/>
      <c r="B19" s="82" t="s">
        <v>84</v>
      </c>
      <c r="C19" s="82"/>
      <c r="D19" s="82">
        <v>0.31578062853621647</v>
      </c>
      <c r="E19" s="82">
        <v>0.28799284956683313</v>
      </c>
    </row>
    <row r="20" spans="1:5" s="79" customFormat="1" ht="12.75" customHeight="1" x14ac:dyDescent="0.25">
      <c r="A20" s="82"/>
      <c r="B20" s="82" t="s">
        <v>37</v>
      </c>
      <c r="C20" s="82"/>
      <c r="D20" s="82">
        <v>0.20941870670177207</v>
      </c>
      <c r="E20" s="82">
        <v>0.18253047291886051</v>
      </c>
    </row>
    <row r="21" spans="1:5" s="79" customFormat="1" ht="12.75" customHeight="1" x14ac:dyDescent="0.25">
      <c r="A21" s="82"/>
      <c r="B21" s="82" t="s">
        <v>36</v>
      </c>
      <c r="C21" s="82"/>
      <c r="D21" s="82">
        <v>1.4266240920209885E-2</v>
      </c>
      <c r="E21" s="82">
        <v>2.4155370232916414E-2</v>
      </c>
    </row>
    <row r="22" spans="1:5" s="79" customFormat="1" ht="12.75" customHeight="1" x14ac:dyDescent="0.25">
      <c r="A22" s="82"/>
      <c r="B22" s="82" t="s">
        <v>38</v>
      </c>
      <c r="C22" s="82"/>
      <c r="D22" s="82">
        <v>4.9691056910569104E-2</v>
      </c>
      <c r="E22" s="82">
        <v>6.172135725461287E-2</v>
      </c>
    </row>
    <row r="23" spans="1:5" s="79" customFormat="1" ht="12.75" customHeight="1" x14ac:dyDescent="0.25">
      <c r="A23" s="82"/>
      <c r="B23" s="82" t="s">
        <v>85</v>
      </c>
      <c r="C23" s="82"/>
      <c r="D23" s="82">
        <v>9.2095680914234493E-2</v>
      </c>
      <c r="E23" s="82">
        <v>8.1307006415056199E-2</v>
      </c>
    </row>
    <row r="24" spans="1:5" s="79" customFormat="1" ht="12.75" customHeight="1" x14ac:dyDescent="0.25">
      <c r="A24" s="82"/>
      <c r="B24" s="82" t="s">
        <v>86</v>
      </c>
      <c r="C24" s="82"/>
      <c r="D24" s="82">
        <v>5.6546748081339984E-2</v>
      </c>
      <c r="E24" s="82">
        <v>5.12234140414854E-2</v>
      </c>
    </row>
    <row r="25" spans="1:5" s="79" customFormat="1" ht="12.75" customHeight="1" x14ac:dyDescent="0.25">
      <c r="A25" s="85"/>
      <c r="B25" s="85"/>
      <c r="C25" s="85"/>
      <c r="D25" s="85"/>
      <c r="E25" s="85"/>
    </row>
    <row r="26" spans="1:5" s="79" customFormat="1" ht="12.75" customHeight="1" x14ac:dyDescent="0.25">
      <c r="A26" s="83" t="s">
        <v>39</v>
      </c>
      <c r="B26" s="85"/>
      <c r="C26" s="85"/>
      <c r="D26" s="86"/>
      <c r="E26" s="86"/>
    </row>
    <row r="27" spans="1:5" s="79" customFormat="1" ht="12.75" customHeight="1" x14ac:dyDescent="0.25">
      <c r="A27" s="87"/>
      <c r="B27" s="79" t="s">
        <v>87</v>
      </c>
      <c r="D27" s="88">
        <v>2.6913760176902199</v>
      </c>
      <c r="E27" s="87">
        <v>2.0325235268206119</v>
      </c>
    </row>
    <row r="28" spans="1:5" s="79" customFormat="1" ht="12.75" customHeight="1" x14ac:dyDescent="0.25">
      <c r="B28" s="79" t="s">
        <v>88</v>
      </c>
      <c r="D28" s="88">
        <v>3.4831219512195122</v>
      </c>
      <c r="E28" s="87">
        <v>2.5551815873434829</v>
      </c>
    </row>
    <row r="29" spans="1:5" s="79" customFormat="1" ht="12.75" customHeight="1" x14ac:dyDescent="0.25">
      <c r="A29" s="87"/>
      <c r="B29" s="79" t="s">
        <v>89</v>
      </c>
      <c r="D29" s="88">
        <v>13.855886157826649</v>
      </c>
      <c r="E29" s="87">
        <v>10.718868966332993</v>
      </c>
    </row>
    <row r="30" spans="1:5" s="79" customFormat="1" ht="12.75" customHeight="1" x14ac:dyDescent="0.25">
      <c r="A30" s="87"/>
      <c r="B30" s="79" t="s">
        <v>90</v>
      </c>
      <c r="D30" s="88">
        <v>58.209782608695654</v>
      </c>
      <c r="E30" s="87">
        <v>133.53892425322204</v>
      </c>
    </row>
    <row r="31" spans="1:5" s="79" customFormat="1" ht="12.75" customHeight="1" x14ac:dyDescent="0.25">
      <c r="A31" s="87"/>
      <c r="B31" s="79" t="s">
        <v>91</v>
      </c>
      <c r="D31" s="88">
        <v>5.448624535315985</v>
      </c>
      <c r="E31" s="87">
        <v>4.3600785537513271</v>
      </c>
    </row>
    <row r="32" spans="1:5" s="79" customFormat="1" ht="12.75" customHeight="1" x14ac:dyDescent="0.25">
      <c r="A32" s="87"/>
      <c r="B32" s="79" t="s">
        <v>92</v>
      </c>
      <c r="D32" s="88">
        <v>40.174793698424608</v>
      </c>
      <c r="E32" s="87">
        <v>29.719231182795699</v>
      </c>
    </row>
    <row r="33" spans="1:5" s="79" customFormat="1" ht="12.75" customHeight="1" x14ac:dyDescent="0.25">
      <c r="A33" s="89"/>
      <c r="B33" s="79" t="s">
        <v>93</v>
      </c>
      <c r="D33" s="88">
        <v>366.80136986301369</v>
      </c>
      <c r="E33" s="85">
        <v>273.98463482937228</v>
      </c>
    </row>
    <row r="34" spans="1:5" s="79" customFormat="1" ht="12.75" customHeight="1" x14ac:dyDescent="0.25">
      <c r="A34" s="81"/>
      <c r="B34" s="79" t="s">
        <v>94</v>
      </c>
      <c r="D34" s="88">
        <v>49.086159486709441</v>
      </c>
      <c r="E34" s="87">
        <v>55.957513900101482</v>
      </c>
    </row>
    <row r="35" spans="1:5" s="79" customFormat="1" ht="12.75" customHeight="1" x14ac:dyDescent="0.25">
      <c r="A35" s="81"/>
      <c r="B35" s="81"/>
      <c r="C35" s="81"/>
      <c r="D35" s="81"/>
      <c r="E35" s="81"/>
    </row>
    <row r="36" spans="1:5" s="79" customFormat="1" ht="12.75" customHeight="1" x14ac:dyDescent="0.25">
      <c r="A36" s="83" t="s">
        <v>42</v>
      </c>
      <c r="B36" s="85"/>
      <c r="C36" s="85"/>
      <c r="D36" s="86"/>
      <c r="E36" s="86"/>
    </row>
    <row r="37" spans="1:5" s="79" customFormat="1" ht="12.75" customHeight="1" x14ac:dyDescent="0.25">
      <c r="A37" s="82"/>
      <c r="B37" s="82" t="s">
        <v>43</v>
      </c>
      <c r="C37" s="82"/>
      <c r="D37" s="82">
        <v>0.17086448904630713</v>
      </c>
      <c r="E37" s="82">
        <v>0.17746564046794</v>
      </c>
    </row>
    <row r="38" spans="1:5" s="79" customFormat="1" ht="12.75" customHeight="1" x14ac:dyDescent="0.25">
      <c r="A38" s="82"/>
      <c r="B38" s="82" t="s">
        <v>44</v>
      </c>
      <c r="C38" s="82"/>
      <c r="D38" s="82">
        <v>-3.9307347498032108E-3</v>
      </c>
      <c r="E38" s="82">
        <v>2.869982030129159E-2</v>
      </c>
    </row>
    <row r="39" spans="1:5" s="79" customFormat="1" ht="12.75" customHeight="1" x14ac:dyDescent="0.25">
      <c r="A39" s="82"/>
      <c r="B39" s="82" t="s">
        <v>45</v>
      </c>
      <c r="C39" s="82"/>
      <c r="D39" s="82">
        <v>0.17548500881834217</v>
      </c>
      <c r="E39" s="82">
        <v>0.14461538461538459</v>
      </c>
    </row>
    <row r="40" spans="1:5" s="79" customFormat="1" ht="12.75" customHeight="1" x14ac:dyDescent="0.25">
      <c r="A40" s="82"/>
      <c r="B40" s="82" t="s">
        <v>46</v>
      </c>
      <c r="C40" s="82"/>
      <c r="D40" s="82">
        <v>9.7890326240097636E-3</v>
      </c>
      <c r="E40" s="82">
        <v>4.0307191104147266E-2</v>
      </c>
    </row>
    <row r="41" spans="1:5" s="79" customFormat="1" ht="12.75" customHeight="1" x14ac:dyDescent="0.25">
      <c r="A41" s="82"/>
      <c r="B41" s="82"/>
      <c r="C41" s="82"/>
      <c r="D41" s="82"/>
      <c r="E41" s="82"/>
    </row>
    <row r="42" spans="1:5" s="79" customFormat="1" ht="12.75" customHeight="1" x14ac:dyDescent="0.25">
      <c r="A42" s="90" t="s">
        <v>145</v>
      </c>
      <c r="B42" s="82"/>
      <c r="C42" s="82"/>
      <c r="D42" s="82"/>
      <c r="E42" s="82"/>
    </row>
    <row r="43" spans="1:5" s="79" customFormat="1" ht="12.75" customHeight="1" x14ac:dyDescent="0.25">
      <c r="A43" s="81"/>
      <c r="B43" s="81" t="s">
        <v>146</v>
      </c>
      <c r="C43" s="81"/>
      <c r="D43" s="91">
        <v>1.100431368211481</v>
      </c>
      <c r="E43" s="91">
        <v>1.629896252001291</v>
      </c>
    </row>
    <row r="44" spans="1:5" s="79" customFormat="1" ht="15.75" x14ac:dyDescent="0.25"/>
    <row r="45" spans="1:5" s="79" customFormat="1" ht="15.75" x14ac:dyDescent="0.25"/>
    <row r="46" spans="1:5" s="79" customFormat="1" ht="15.75" x14ac:dyDescent="0.25"/>
    <row r="47" spans="1:5" s="79" customFormat="1" ht="15.75" x14ac:dyDescent="0.25"/>
    <row r="48" spans="1:5" s="79" customFormat="1" ht="15.75" x14ac:dyDescent="0.25"/>
    <row r="49" s="79" customFormat="1" ht="15.75" x14ac:dyDescent="0.25"/>
    <row r="50" s="79" customFormat="1" ht="15.75" x14ac:dyDescent="0.25"/>
    <row r="51" s="79" customFormat="1" ht="15.75" x14ac:dyDescent="0.25"/>
    <row r="52" s="79" customFormat="1" ht="15.75" x14ac:dyDescent="0.25"/>
    <row r="53" s="79" customFormat="1" ht="15.75" x14ac:dyDescent="0.25"/>
    <row r="54" s="79" customFormat="1" ht="15.75" x14ac:dyDescent="0.25"/>
    <row r="55" s="79" customFormat="1" ht="15.75" x14ac:dyDescent="0.25"/>
    <row r="56" s="79" customFormat="1" ht="15.75" x14ac:dyDescent="0.25"/>
    <row r="57" s="79" customFormat="1" ht="15.75" x14ac:dyDescent="0.25"/>
    <row r="58" s="79" customFormat="1" ht="15.75" x14ac:dyDescent="0.25"/>
    <row r="59" s="79" customFormat="1" ht="15.75" x14ac:dyDescent="0.25"/>
    <row r="60" s="79" customFormat="1" ht="15.75" x14ac:dyDescent="0.25"/>
    <row r="61" s="79" customFormat="1" ht="15.75" x14ac:dyDescent="0.25"/>
    <row r="62" s="79" customFormat="1" ht="15.75" x14ac:dyDescent="0.25"/>
    <row r="63" s="79" customFormat="1" ht="15.75" x14ac:dyDescent="0.25"/>
    <row r="64" s="79" customFormat="1" ht="15.75" x14ac:dyDescent="0.25"/>
    <row r="65" s="79" customFormat="1" ht="15.75" x14ac:dyDescent="0.25"/>
    <row r="66" s="79" customFormat="1" ht="15.75" x14ac:dyDescent="0.25"/>
    <row r="67" s="79" customFormat="1" ht="15.75" x14ac:dyDescent="0.25"/>
    <row r="68" s="79" customFormat="1" ht="15.75" x14ac:dyDescent="0.25"/>
    <row r="69" s="79" customFormat="1" ht="15.75" x14ac:dyDescent="0.25"/>
    <row r="70" s="79" customFormat="1" ht="15.75" x14ac:dyDescent="0.25"/>
    <row r="71" s="79" customFormat="1" ht="15.75" x14ac:dyDescent="0.25"/>
    <row r="72" s="79" customFormat="1" ht="15.75" x14ac:dyDescent="0.25"/>
    <row r="73" s="79" customFormat="1" ht="15.75" x14ac:dyDescent="0.25"/>
    <row r="74" s="79" customFormat="1" ht="15.75" x14ac:dyDescent="0.25"/>
    <row r="75" s="79" customFormat="1" ht="15.75" x14ac:dyDescent="0.25"/>
    <row r="76" s="79" customFormat="1" ht="15.75" x14ac:dyDescent="0.25"/>
    <row r="77" s="79" customFormat="1" ht="15.75" x14ac:dyDescent="0.25"/>
    <row r="78" s="79" customFormat="1" ht="15.75" x14ac:dyDescent="0.25"/>
    <row r="79" s="79" customFormat="1" ht="15.75" x14ac:dyDescent="0.25"/>
    <row r="80" s="79" customFormat="1" ht="15.75" x14ac:dyDescent="0.25"/>
    <row r="81" s="79" customFormat="1" ht="15.75" x14ac:dyDescent="0.25"/>
    <row r="82" s="79" customFormat="1" ht="15.75" x14ac:dyDescent="0.25"/>
    <row r="83" s="79" customFormat="1" ht="15.75" x14ac:dyDescent="0.25"/>
    <row r="84" s="79" customFormat="1" ht="15.75" x14ac:dyDescent="0.25"/>
    <row r="85" s="79" customFormat="1" ht="15.75" x14ac:dyDescent="0.25"/>
    <row r="86" s="79" customFormat="1" ht="15.75" x14ac:dyDescent="0.25"/>
    <row r="87" s="79" customFormat="1" ht="15.75" x14ac:dyDescent="0.25"/>
    <row r="88" s="79" customFormat="1" ht="15.75" x14ac:dyDescent="0.25"/>
    <row r="89" s="79" customFormat="1" ht="15.75" x14ac:dyDescent="0.25"/>
    <row r="90" s="79" customFormat="1" ht="15.75" x14ac:dyDescent="0.25"/>
    <row r="91" s="79" customFormat="1" ht="15.75" x14ac:dyDescent="0.25"/>
    <row r="92" s="79" customFormat="1" ht="15.75" x14ac:dyDescent="0.25"/>
    <row r="93" s="79" customFormat="1" ht="15.75" x14ac:dyDescent="0.25"/>
    <row r="94" s="79" customFormat="1" ht="15.75" x14ac:dyDescent="0.25"/>
    <row r="95" s="79" customFormat="1" ht="15.75" x14ac:dyDescent="0.25"/>
    <row r="96" s="79" customFormat="1" ht="15.75" x14ac:dyDescent="0.25"/>
    <row r="97" s="79" customFormat="1" ht="15.75" x14ac:dyDescent="0.25"/>
    <row r="98" s="79" customFormat="1" ht="15.75" x14ac:dyDescent="0.25"/>
    <row r="99" s="79" customFormat="1" ht="15.75" x14ac:dyDescent="0.25"/>
    <row r="100" s="79" customFormat="1" ht="15.75" x14ac:dyDescent="0.25"/>
    <row r="101" s="79" customFormat="1" ht="15.75" x14ac:dyDescent="0.25"/>
    <row r="102" s="79" customFormat="1" ht="15.75" x14ac:dyDescent="0.25"/>
    <row r="103" s="79" customFormat="1" ht="15.75" x14ac:dyDescent="0.25"/>
    <row r="104" s="79" customFormat="1" ht="15.75" x14ac:dyDescent="0.25"/>
    <row r="105" s="79" customFormat="1" ht="15.75" x14ac:dyDescent="0.25"/>
    <row r="106" s="79" customFormat="1" ht="15.75" x14ac:dyDescent="0.25"/>
    <row r="107" s="79" customFormat="1" ht="15.75" x14ac:dyDescent="0.25"/>
    <row r="108" s="79" customFormat="1" ht="15.75" x14ac:dyDescent="0.25"/>
    <row r="109" s="79" customFormat="1" ht="15.75" x14ac:dyDescent="0.25"/>
    <row r="110" s="79" customFormat="1" ht="15.75" x14ac:dyDescent="0.25"/>
    <row r="111" s="79" customFormat="1" ht="15.75" x14ac:dyDescent="0.25"/>
    <row r="112" s="79" customFormat="1" ht="15.75" x14ac:dyDescent="0.25"/>
    <row r="113" s="79" customFormat="1" ht="15.75" x14ac:dyDescent="0.25"/>
    <row r="114" s="79" customFormat="1" ht="15.75" x14ac:dyDescent="0.25"/>
    <row r="115" s="79" customFormat="1" ht="15.75" x14ac:dyDescent="0.25"/>
    <row r="116" s="79" customFormat="1" ht="15.75" x14ac:dyDescent="0.25"/>
    <row r="117" s="79" customFormat="1" ht="15.75" x14ac:dyDescent="0.25"/>
    <row r="118" s="79" customFormat="1" ht="15.75" x14ac:dyDescent="0.25"/>
    <row r="119" s="79" customFormat="1" ht="15.75" x14ac:dyDescent="0.25"/>
    <row r="120" s="79" customFormat="1" ht="15.75" x14ac:dyDescent="0.25"/>
    <row r="121" s="79" customFormat="1" ht="15.75" x14ac:dyDescent="0.25"/>
    <row r="122" s="79" customFormat="1" ht="15.75" x14ac:dyDescent="0.25"/>
    <row r="123" s="79" customFormat="1" ht="15.75" x14ac:dyDescent="0.25"/>
    <row r="124" s="79" customFormat="1" ht="15.75" x14ac:dyDescent="0.25"/>
    <row r="125" s="79" customFormat="1" ht="15.75" x14ac:dyDescent="0.25"/>
    <row r="126" s="79" customFormat="1" ht="15.75" x14ac:dyDescent="0.25"/>
    <row r="127" s="79" customFormat="1" ht="15.75" x14ac:dyDescent="0.25"/>
    <row r="128" s="79" customFormat="1" ht="15.75" x14ac:dyDescent="0.25"/>
    <row r="129" s="79" customFormat="1" ht="15.75" x14ac:dyDescent="0.25"/>
    <row r="130" s="79" customFormat="1" ht="15.75" x14ac:dyDescent="0.25"/>
    <row r="131" s="79" customFormat="1" ht="15.75" x14ac:dyDescent="0.25"/>
    <row r="132" s="79" customFormat="1" ht="15.75" x14ac:dyDescent="0.25"/>
    <row r="133" s="79" customFormat="1" ht="15.75" x14ac:dyDescent="0.25"/>
    <row r="134" s="79" customFormat="1" ht="15.75" x14ac:dyDescent="0.25"/>
    <row r="135" s="79" customFormat="1" ht="15.75" x14ac:dyDescent="0.25"/>
    <row r="136" s="79" customFormat="1" ht="15.75" x14ac:dyDescent="0.25"/>
    <row r="137" s="79" customFormat="1" ht="15.75" x14ac:dyDescent="0.25"/>
    <row r="138" s="79" customFormat="1" ht="15.75" x14ac:dyDescent="0.25"/>
    <row r="139" s="79" customFormat="1" ht="15.75" x14ac:dyDescent="0.25"/>
  </sheetData>
  <phoneticPr fontId="10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workbookViewId="0"/>
  </sheetViews>
  <sheetFormatPr defaultRowHeight="12.75" x14ac:dyDescent="0.2"/>
  <cols>
    <col min="1" max="1" width="4.1640625" style="2" customWidth="1"/>
    <col min="2" max="2" width="28.83203125" style="2" customWidth="1"/>
    <col min="3" max="3" width="10.5" style="2" customWidth="1"/>
    <col min="4" max="8" width="11" style="2" customWidth="1"/>
    <col min="9" max="9" width="11.83203125" style="2" customWidth="1"/>
    <col min="10" max="10" width="11" style="2" bestFit="1" customWidth="1"/>
    <col min="11" max="11" width="14" style="2" customWidth="1"/>
    <col min="12" max="17" width="11" style="2" bestFit="1" customWidth="1"/>
    <col min="18" max="18" width="13.1640625" style="2" customWidth="1"/>
    <col min="19" max="19" width="14.1640625" style="2" customWidth="1"/>
    <col min="20" max="20" width="12.83203125" style="2" customWidth="1"/>
    <col min="21" max="21" width="12.6640625" style="2" customWidth="1"/>
    <col min="22" max="22" width="13.5" style="2" customWidth="1"/>
    <col min="23" max="23" width="12.83203125" style="2" customWidth="1"/>
    <col min="24" max="24" width="11" style="2" bestFit="1" customWidth="1"/>
    <col min="25" max="25" width="12.83203125" style="2" customWidth="1"/>
    <col min="26" max="26" width="11" style="2" bestFit="1" customWidth="1"/>
    <col min="27" max="27" width="12" style="2" customWidth="1"/>
    <col min="28" max="16384" width="9.33203125" style="2"/>
  </cols>
  <sheetData>
    <row r="1" spans="1:8" customFormat="1" ht="15.75" x14ac:dyDescent="0.25">
      <c r="C1" s="34" t="s">
        <v>167</v>
      </c>
    </row>
    <row r="2" spans="1:8" customFormat="1" ht="15.75" x14ac:dyDescent="0.25">
      <c r="C2" s="36"/>
    </row>
    <row r="3" spans="1:8" customFormat="1" ht="15.75" x14ac:dyDescent="0.25">
      <c r="C3" s="37" t="s">
        <v>149</v>
      </c>
    </row>
    <row r="4" spans="1:8" ht="12" customHeight="1" x14ac:dyDescent="0.2">
      <c r="A4" s="1"/>
      <c r="B4" s="3"/>
      <c r="C4" s="4"/>
      <c r="E4" s="3"/>
      <c r="F4" s="3"/>
      <c r="G4" s="3"/>
      <c r="H4" s="3"/>
    </row>
    <row r="5" spans="1:8" ht="12" customHeight="1" x14ac:dyDescent="0.25">
      <c r="A5" s="1"/>
      <c r="B5" s="3"/>
      <c r="C5" s="63" t="s">
        <v>170</v>
      </c>
      <c r="E5" s="3"/>
      <c r="F5" s="3"/>
      <c r="G5" s="3"/>
      <c r="H5" s="3"/>
    </row>
    <row r="6" spans="1:8" x14ac:dyDescent="0.2">
      <c r="A6" s="1"/>
      <c r="B6" s="3"/>
      <c r="C6" s="3"/>
      <c r="D6" s="7"/>
      <c r="F6" s="3"/>
      <c r="G6" s="3"/>
      <c r="H6" s="3"/>
    </row>
    <row r="8" spans="1:8" x14ac:dyDescent="0.2">
      <c r="D8" s="99" t="s">
        <v>71</v>
      </c>
      <c r="E8" s="99"/>
      <c r="F8" s="99"/>
      <c r="G8" s="99"/>
      <c r="H8" s="99"/>
    </row>
    <row r="9" spans="1:8" x14ac:dyDescent="0.2">
      <c r="C9" s="8"/>
      <c r="D9" s="33">
        <v>1997</v>
      </c>
      <c r="E9" s="33">
        <v>1998</v>
      </c>
      <c r="F9" s="33">
        <v>1999</v>
      </c>
      <c r="G9" s="33">
        <v>2000</v>
      </c>
      <c r="H9" s="33">
        <v>2001</v>
      </c>
    </row>
    <row r="10" spans="1:8" ht="13.5" customHeight="1" x14ac:dyDescent="0.2">
      <c r="A10" s="5"/>
    </row>
    <row r="11" spans="1:8" s="12" customFormat="1" x14ac:dyDescent="0.2">
      <c r="B11" t="s">
        <v>153</v>
      </c>
      <c r="D11" s="12">
        <f>'Exh 5'!D28-'Exh 5'!D33-'Exh 5'!D34-'Exh 5'!D37</f>
        <v>771.53700000000026</v>
      </c>
      <c r="E11" s="12">
        <f>'Exh 5'!E28-'Exh 5'!E33-'Exh 5'!E34-'Exh 5'!E37</f>
        <v>1011.8330000000001</v>
      </c>
      <c r="F11" s="12">
        <f>'Exh 5'!F28-'Exh 5'!F33-'Exh 5'!F34-'Exh 5'!F37</f>
        <v>1459.585</v>
      </c>
      <c r="G11" s="12">
        <f>'Exh 5'!G28-'Exh 5'!G33-'Exh 5'!G34-'Exh 5'!G37</f>
        <v>1538.5980000000006</v>
      </c>
      <c r="H11" s="12">
        <f>'Exh 5'!H28-'Exh 5'!H33-'Exh 5'!H34-'Exh 5'!H37</f>
        <v>2062.8210000000008</v>
      </c>
    </row>
    <row r="12" spans="1:8" s="12" customFormat="1" x14ac:dyDescent="0.2">
      <c r="B12" t="s">
        <v>33</v>
      </c>
      <c r="D12" s="12">
        <f>'Exh 5'!D29+'Exh 5'!D30</f>
        <v>3109.6750000000002</v>
      </c>
      <c r="E12" s="12">
        <f>'Exh 5'!E29+'Exh 5'!E30</f>
        <v>3758.9679999999998</v>
      </c>
      <c r="F12" s="12">
        <f>'Exh 5'!F29+'Exh 5'!F30</f>
        <v>5319.1669999999995</v>
      </c>
      <c r="G12" s="12">
        <f>'Exh 5'!G29+'Exh 5'!G30</f>
        <v>7200.741</v>
      </c>
      <c r="H12" s="12">
        <f>'Exh 5'!H29+'Exh 5'!H30</f>
        <v>8815.8270000000011</v>
      </c>
    </row>
    <row r="13" spans="1:8" s="12" customFormat="1" x14ac:dyDescent="0.2">
      <c r="B13" t="s">
        <v>82</v>
      </c>
      <c r="D13" s="12">
        <f>D12+D11</f>
        <v>3881.2120000000004</v>
      </c>
      <c r="E13" s="12">
        <f>E12+E11</f>
        <v>4770.8009999999995</v>
      </c>
      <c r="F13" s="12">
        <f>F12+F11</f>
        <v>6778.7519999999995</v>
      </c>
      <c r="G13" s="12">
        <f>G12+G11</f>
        <v>8739.3389999999999</v>
      </c>
      <c r="H13" s="12">
        <f>H12+H11</f>
        <v>10878.648000000001</v>
      </c>
    </row>
    <row r="14" spans="1:8" s="13" customFormat="1" x14ac:dyDescent="0.2">
      <c r="B14" t="s">
        <v>79</v>
      </c>
      <c r="D14" s="13">
        <f>'Exh 5'!D20/'Exh 5'!D19</f>
        <v>0.3599750781939573</v>
      </c>
      <c r="E14" s="13">
        <f>'Exh 5'!E20/'Exh 5'!E19</f>
        <v>0.36391349407058399</v>
      </c>
      <c r="F14" s="13">
        <f>'Exh 5'!F20/'Exh 5'!F19</f>
        <v>0.36715627483903179</v>
      </c>
      <c r="G14" s="13">
        <f>'Exh 5'!G20/'Exh 5'!G19</f>
        <v>0.36799928205768451</v>
      </c>
      <c r="H14" s="13">
        <f>'Exh 5'!H20/'Exh 5'!H19</f>
        <v>0.36978226747745419</v>
      </c>
    </row>
    <row r="15" spans="1:8" s="12" customFormat="1" x14ac:dyDescent="0.2">
      <c r="B15" t="s">
        <v>83</v>
      </c>
      <c r="D15" s="12">
        <f>'Exh 5'!D16*(1-D14)</f>
        <v>399.4485140480561</v>
      </c>
      <c r="E15" s="12">
        <f>'Exh 5'!E16*(1-E14)</f>
        <v>529.9599250206337</v>
      </c>
      <c r="F15" s="12">
        <f>'Exh 5'!F16*(1-F14)</f>
        <v>741.9124426612849</v>
      </c>
      <c r="G15" s="12">
        <f>'Exh 5'!G16*(1-G14)</f>
        <v>886.2324867453824</v>
      </c>
      <c r="H15" s="12">
        <f>'Exh 5'!H16*(1-H14)</f>
        <v>1132.9978769162428</v>
      </c>
    </row>
    <row r="16" spans="1:8" s="12" customFormat="1" x14ac:dyDescent="0.2"/>
    <row r="17" spans="1:8" x14ac:dyDescent="0.2">
      <c r="A17" s="5" t="s">
        <v>32</v>
      </c>
      <c r="C17" s="8"/>
      <c r="D17" s="8"/>
      <c r="E17" s="8"/>
      <c r="F17" s="8"/>
      <c r="G17" s="8"/>
      <c r="H17" s="8"/>
    </row>
    <row r="18" spans="1:8" s="13" customFormat="1" x14ac:dyDescent="0.2">
      <c r="B18" s="13" t="s">
        <v>80</v>
      </c>
      <c r="D18" s="13">
        <f>D15/D13</f>
        <v>0.10291849918222866</v>
      </c>
      <c r="E18" s="13">
        <f>E15/E13</f>
        <v>0.11108405591024102</v>
      </c>
      <c r="F18" s="13">
        <f>F15/F13</f>
        <v>0.10944675991410882</v>
      </c>
      <c r="G18" s="13">
        <f>G15/G13</f>
        <v>0.10140726738548332</v>
      </c>
      <c r="H18" s="13">
        <f>H15/H13</f>
        <v>0.10414877629244394</v>
      </c>
    </row>
    <row r="19" spans="1:8" s="13" customFormat="1" x14ac:dyDescent="0.2">
      <c r="B19" s="13" t="s">
        <v>81</v>
      </c>
      <c r="D19" s="13">
        <f>'Exh 5'!D21/'Exh 5'!D43</f>
        <v>0.13746164840619995</v>
      </c>
      <c r="E19" s="13">
        <f>'Exh 5'!E21/'Exh 5'!E43</f>
        <v>0.15383590054949781</v>
      </c>
      <c r="F19" s="13">
        <f>'Exh 5'!F21/'Exh 5'!F43</f>
        <v>0.14328125975008657</v>
      </c>
      <c r="G19" s="13">
        <f>'Exh 5'!G21/'Exh 5'!G43</f>
        <v>0.14738634202535669</v>
      </c>
      <c r="H19" s="13">
        <f>'Exh 5'!H21/'Exh 5'!H43</f>
        <v>0.15346031922968248</v>
      </c>
    </row>
    <row r="20" spans="1:8" s="9" customFormat="1" x14ac:dyDescent="0.2"/>
    <row r="21" spans="1:8" x14ac:dyDescent="0.2">
      <c r="A21" s="5" t="s">
        <v>34</v>
      </c>
      <c r="C21" s="8"/>
      <c r="D21" s="8"/>
      <c r="E21" s="8"/>
      <c r="F21" s="8"/>
      <c r="G21" s="8"/>
      <c r="H21" s="8"/>
    </row>
    <row r="22" spans="1:8" s="13" customFormat="1" x14ac:dyDescent="0.2">
      <c r="B22" s="13" t="s">
        <v>84</v>
      </c>
      <c r="D22" s="13">
        <f>'Exh 5'!D13/'Exh 5'!D11</f>
        <v>0.26534499239904935</v>
      </c>
      <c r="E22" s="13">
        <f>'Exh 5'!E13/'Exh 5'!E11</f>
        <v>0.26906964068743161</v>
      </c>
      <c r="F22" s="13">
        <f>'Exh 5'!F13/'Exh 5'!F11</f>
        <v>0.27541138825677369</v>
      </c>
      <c r="G22" s="13">
        <f>'Exh 5'!G13/'Exh 5'!G11</f>
        <v>0.28174515414095413</v>
      </c>
      <c r="H22" s="13">
        <f>'Exh 5'!H13/'Exh 5'!H11</f>
        <v>0.28799284956683313</v>
      </c>
    </row>
    <row r="23" spans="1:8" s="13" customFormat="1" x14ac:dyDescent="0.2">
      <c r="B23" s="13" t="s">
        <v>37</v>
      </c>
      <c r="D23" s="13">
        <f>'Exh 5'!D14/'Exh 5'!D11</f>
        <v>0.1799947518420344</v>
      </c>
      <c r="E23" s="13">
        <f>'Exh 5'!E14/'Exh 5'!E11</f>
        <v>0.1787975580328173</v>
      </c>
      <c r="F23" s="13">
        <f>'Exh 5'!F14/'Exh 5'!F11</f>
        <v>0.18046561603008249</v>
      </c>
      <c r="G23" s="13">
        <f>'Exh 5'!G14/'Exh 5'!G11</f>
        <v>0.18526405567115131</v>
      </c>
      <c r="H23" s="13">
        <f>'Exh 5'!H14/'Exh 5'!H11</f>
        <v>0.18253047291886051</v>
      </c>
    </row>
    <row r="24" spans="1:8" s="13" customFormat="1" x14ac:dyDescent="0.2">
      <c r="B24" s="13" t="s">
        <v>36</v>
      </c>
      <c r="D24" s="13">
        <f>'Exh 5'!D15/'Exh 5'!D11</f>
        <v>2.3781652952730079E-2</v>
      </c>
      <c r="E24" s="13">
        <f>'Exh 5'!E15/'Exh 5'!E11</f>
        <v>2.2230838974193465E-2</v>
      </c>
      <c r="F24" s="13">
        <f>'Exh 5'!F15/'Exh 5'!F11</f>
        <v>2.1239192875211522E-2</v>
      </c>
      <c r="G24" s="13">
        <f>'Exh 5'!G15/'Exh 5'!G11</f>
        <v>2.180737084245921E-2</v>
      </c>
      <c r="H24" s="13">
        <f>'Exh 5'!H15/'Exh 5'!H11</f>
        <v>2.4155370232916414E-2</v>
      </c>
    </row>
    <row r="25" spans="1:8" s="13" customFormat="1" x14ac:dyDescent="0.2">
      <c r="B25" s="13" t="s">
        <v>38</v>
      </c>
      <c r="D25" s="13">
        <f>'Exh 5'!D15/'Exh 5'!D29</f>
        <v>8.0218314993449683E-2</v>
      </c>
      <c r="E25" s="13">
        <f>'Exh 5'!E15/'Exh 5'!E29</f>
        <v>7.484746008776115E-2</v>
      </c>
      <c r="F25" s="13">
        <f>'Exh 5'!F15/'Exh 5'!F29</f>
        <v>6.5251596319416086E-2</v>
      </c>
      <c r="G25" s="13">
        <f>'Exh 5'!G15/'Exh 5'!G29</f>
        <v>5.8210849812934264E-2</v>
      </c>
      <c r="H25" s="13">
        <f>'Exh 5'!H15/'Exh 5'!H29</f>
        <v>6.172135725461287E-2</v>
      </c>
    </row>
    <row r="26" spans="1:8" s="13" customFormat="1" x14ac:dyDescent="0.2">
      <c r="B26" s="13" t="s">
        <v>85</v>
      </c>
      <c r="D26" s="13">
        <f>'Exh 5'!D16/'Exh 5'!D11</f>
        <v>6.1568587604284873E-2</v>
      </c>
      <c r="E26" s="13">
        <f>'Exh 5'!E16/'Exh 5'!E11</f>
        <v>6.8041243680420832E-2</v>
      </c>
      <c r="F26" s="13">
        <f>'Exh 5'!F16/'Exh 5'!F11</f>
        <v>7.3706579351479715E-2</v>
      </c>
      <c r="G26" s="13">
        <f>'Exh 5'!G16/'Exh 5'!G11</f>
        <v>7.4673727627343617E-2</v>
      </c>
      <c r="H26" s="13">
        <f>'Exh 5'!H16/'Exh 5'!H11</f>
        <v>8.1307006415056199E-2</v>
      </c>
    </row>
    <row r="27" spans="1:8" s="13" customFormat="1" x14ac:dyDescent="0.2">
      <c r="B27" s="13" t="s">
        <v>86</v>
      </c>
      <c r="D27" s="13">
        <f>D15/'Exh 5'!D11</f>
        <v>3.9405430467140921E-2</v>
      </c>
      <c r="E27" s="13">
        <f>E15/'Exh 5'!E11</f>
        <v>4.328011695177085E-2</v>
      </c>
      <c r="F27" s="13">
        <f>F15/'Exh 5'!F11</f>
        <v>4.6644746245662921E-2</v>
      </c>
      <c r="G27" s="13">
        <f>G15/'Exh 5'!G11</f>
        <v>4.7193849471910083E-2</v>
      </c>
      <c r="H27" s="13">
        <f>H15/'Exh 5'!H11</f>
        <v>5.12411172210928E-2</v>
      </c>
    </row>
    <row r="28" spans="1:8" s="9" customFormat="1" x14ac:dyDescent="0.2"/>
    <row r="29" spans="1:8" s="9" customFormat="1" x14ac:dyDescent="0.2">
      <c r="A29" s="5" t="s">
        <v>39</v>
      </c>
      <c r="H29" s="10"/>
    </row>
    <row r="30" spans="1:8" s="11" customFormat="1" x14ac:dyDescent="0.2">
      <c r="B30" t="s">
        <v>87</v>
      </c>
      <c r="D30" s="59">
        <f>'Exh 5'!D11/D13</f>
        <v>2.6117846693249422</v>
      </c>
      <c r="E30" s="59">
        <f>'Exh 5'!E11/E13</f>
        <v>2.5666302157646066</v>
      </c>
      <c r="F30" s="59">
        <f>'Exh 5'!F11/F13</f>
        <v>2.3463898664532943</v>
      </c>
      <c r="G30" s="59">
        <f>'Exh 5'!G11/G13</f>
        <v>2.1487390522326688</v>
      </c>
      <c r="H30" s="59">
        <f>'Exh 5'!H11/H13</f>
        <v>2.0325235268206119</v>
      </c>
    </row>
    <row r="31" spans="1:8" x14ac:dyDescent="0.2">
      <c r="B31" t="s">
        <v>88</v>
      </c>
      <c r="D31" s="59">
        <f>'Exh 5'!D11/'Exh 5'!D29</f>
        <v>3.3731177203240117</v>
      </c>
      <c r="E31" s="59">
        <f>'Exh 5'!E11/'Exh 5'!E29</f>
        <v>3.3668302026139174</v>
      </c>
      <c r="F31" s="59">
        <f>'Exh 5'!F11/'Exh 5'!F29</f>
        <v>3.0722257998594613</v>
      </c>
      <c r="G31" s="59">
        <f>'Exh 5'!G11/'Exh 5'!G29</f>
        <v>2.669319939274708</v>
      </c>
      <c r="H31" s="59">
        <f>'Exh 5'!H11/'Exh 5'!H29</f>
        <v>2.5551815873434829</v>
      </c>
    </row>
    <row r="32" spans="1:8" s="11" customFormat="1" x14ac:dyDescent="0.2">
      <c r="B32" t="s">
        <v>89</v>
      </c>
      <c r="D32" s="59">
        <f>'Exh 5'!D11/D11</f>
        <v>13.138566264482449</v>
      </c>
      <c r="E32" s="59">
        <f>'Exh 5'!E11/E11</f>
        <v>12.101682787574628</v>
      </c>
      <c r="F32" s="59">
        <f>'Exh 5'!F11/F11</f>
        <v>10.897340682454258</v>
      </c>
      <c r="G32" s="59">
        <f>'Exh 5'!G11/G11</f>
        <v>12.204980768205855</v>
      </c>
      <c r="H32" s="59">
        <f>'Exh 5'!H11/H11</f>
        <v>10.718868966332993</v>
      </c>
    </row>
    <row r="33" spans="1:8" s="11" customFormat="1" x14ac:dyDescent="0.2">
      <c r="B33" t="s">
        <v>90</v>
      </c>
      <c r="D33" s="59">
        <f>'Exh 5'!D11/'Exh 5'!D25</f>
        <v>85.609840551314093</v>
      </c>
      <c r="E33" s="59">
        <f>'Exh 5'!E11/'Exh 5'!E25</f>
        <v>85.076440998276908</v>
      </c>
      <c r="F33" s="59">
        <f>'Exh 5'!F11/'Exh 5'!F25</f>
        <v>107.54217348090951</v>
      </c>
      <c r="G33" s="59">
        <f>'Exh 5'!G11/'Exh 5'!G25</f>
        <v>116.64788023728919</v>
      </c>
      <c r="H33" s="59">
        <f>'Exh 5'!H11/'Exh 5'!H25</f>
        <v>133.53892425322204</v>
      </c>
    </row>
    <row r="34" spans="1:8" s="11" customFormat="1" x14ac:dyDescent="0.2">
      <c r="B34" t="s">
        <v>91</v>
      </c>
      <c r="D34" s="59">
        <f>'Exh 5'!D12/'Exh 5'!D26</f>
        <v>4.3433755668987137</v>
      </c>
      <c r="E34" s="59">
        <f>'Exh 5'!E12/'Exh 5'!E26</f>
        <v>4.2521686870054571</v>
      </c>
      <c r="F34" s="59">
        <f>'Exh 5'!F12/'Exh 5'!F26</f>
        <v>4.0979849315219496</v>
      </c>
      <c r="G34" s="59">
        <f>'Exh 5'!G12/'Exh 5'!G26</f>
        <v>4.1054100451395126</v>
      </c>
      <c r="H34" s="59">
        <f>'Exh 5'!H12/'Exh 5'!H26</f>
        <v>4.3600785537513271</v>
      </c>
    </row>
    <row r="35" spans="1:8" s="11" customFormat="1" x14ac:dyDescent="0.2">
      <c r="B35" t="s">
        <v>92</v>
      </c>
      <c r="D35" s="59">
        <f>'Exh 5'!D11/'Exh 2'!D16</f>
        <v>21.251341719077566</v>
      </c>
      <c r="E35" s="59">
        <f>'Exh 5'!E11/'Exh 2'!E16</f>
        <v>23.54785</v>
      </c>
      <c r="F35" s="59">
        <f>'Exh 5'!F11/'Exh 2'!F16</f>
        <v>27.613880208333331</v>
      </c>
      <c r="G35" s="59">
        <f>'Exh 5'!G11/'Exh 2'!G16</f>
        <v>28.89009076923077</v>
      </c>
      <c r="H35" s="59">
        <f>'Exh 5'!H11/'Exh 2'!H16</f>
        <v>29.719231182795699</v>
      </c>
    </row>
    <row r="36" spans="1:8" x14ac:dyDescent="0.2">
      <c r="A36" s="6"/>
      <c r="B36" t="s">
        <v>93</v>
      </c>
      <c r="D36" s="59">
        <f>'Exh 5'!D11/'Exh 2'!D17</f>
        <v>254.31234320120421</v>
      </c>
      <c r="E36" s="59">
        <f>'Exh 5'!E11/'Exh 2'!E17</f>
        <v>256.19587822994038</v>
      </c>
      <c r="F36" s="59">
        <f>'Exh 5'!F11/'Exh 2'!F17</f>
        <v>279.138572506625</v>
      </c>
      <c r="G36" s="59">
        <f>'Exh 5'!G11/'Exh 2'!G17</f>
        <v>277.0761501460737</v>
      </c>
      <c r="H36" s="59">
        <f>'Exh 5'!H11/'Exh 2'!H17</f>
        <v>273.98463482937228</v>
      </c>
    </row>
    <row r="37" spans="1:8" s="12" customFormat="1" x14ac:dyDescent="0.2">
      <c r="B37" t="s">
        <v>94</v>
      </c>
      <c r="D37" s="59">
        <f>'Exh 5'!D11/'Exh 2'!D18</f>
        <v>43.882640692640692</v>
      </c>
      <c r="E37" s="59">
        <f>'Exh 5'!E11/'Exh 2'!E18</f>
        <v>45.650340004175483</v>
      </c>
      <c r="F37" s="59">
        <f>'Exh 5'!F11/'Exh 2'!F18</f>
        <v>53.155969588102593</v>
      </c>
      <c r="G37" s="59">
        <f>'Exh 5'!G11/'Exh 2'!G18</f>
        <v>54.8803061609186</v>
      </c>
      <c r="H37" s="59">
        <f>'Exh 5'!H11/'Exh 2'!H18</f>
        <v>55.957513900101482</v>
      </c>
    </row>
    <row r="38" spans="1:8" s="12" customFormat="1" x14ac:dyDescent="0.2"/>
    <row r="39" spans="1:8" s="9" customFormat="1" x14ac:dyDescent="0.2">
      <c r="A39" s="5" t="s">
        <v>42</v>
      </c>
      <c r="H39" s="10"/>
    </row>
    <row r="40" spans="1:8" s="13" customFormat="1" x14ac:dyDescent="0.2">
      <c r="B40" s="13" t="s">
        <v>43</v>
      </c>
      <c r="E40" s="13">
        <f>'Exh 5'!E11/'Exh 5'!D11-1</f>
        <v>0.20795253771127054</v>
      </c>
      <c r="F40" s="13">
        <f>'Exh 5'!F11/'Exh 5'!E11-1</f>
        <v>0.29895861797606549</v>
      </c>
      <c r="G40" s="13">
        <f>'Exh 5'!G11/'Exh 5'!F11-1</f>
        <v>0.18062599984470884</v>
      </c>
      <c r="H40" s="13">
        <f>'Exh 5'!H11/'Exh 5'!G11-1</f>
        <v>0.17746564046794</v>
      </c>
    </row>
    <row r="41" spans="1:8" s="13" customFormat="1" x14ac:dyDescent="0.2">
      <c r="B41" s="13" t="s">
        <v>44</v>
      </c>
      <c r="E41" s="13">
        <f>E35/D35-1</f>
        <v>0.10806415478514619</v>
      </c>
      <c r="F41" s="13">
        <f>F35/E35-1</f>
        <v>0.17267097456172564</v>
      </c>
      <c r="G41" s="13">
        <f>G35/F35-1</f>
        <v>4.6216270631618928E-2</v>
      </c>
      <c r="H41" s="13">
        <f>H35/G35-1</f>
        <v>2.869982030129159E-2</v>
      </c>
    </row>
    <row r="42" spans="1:8" s="13" customFormat="1" x14ac:dyDescent="0.2">
      <c r="B42" s="13" t="s">
        <v>45</v>
      </c>
      <c r="E42" s="13">
        <f>'Exh 2'!E16/'Exh 2'!D16-1</f>
        <v>9.0146750524108921E-2</v>
      </c>
      <c r="F42" s="13">
        <f>'Exh 2'!F16/'Exh 2'!E16-1</f>
        <v>0.10769230769230775</v>
      </c>
      <c r="G42" s="13">
        <f>'Exh 2'!G16/'Exh 2'!F16-1</f>
        <v>0.12847222222222232</v>
      </c>
      <c r="H42" s="13">
        <f>'Exh 2'!H16/'Exh 2'!G16-1</f>
        <v>0.14461538461538459</v>
      </c>
    </row>
    <row r="43" spans="1:8" s="13" customFormat="1" x14ac:dyDescent="0.2">
      <c r="B43" s="13" t="s">
        <v>46</v>
      </c>
      <c r="E43" s="13">
        <f>('Exh 2'!E17/'Exh 2'!E16)/('Exh 2'!D17/'Exh 2'!D16)-1</f>
        <v>9.9917740939441835E-2</v>
      </c>
      <c r="F43" s="13">
        <f>('Exh 2'!F17/'Exh 2'!F16)/('Exh 2'!E17/'Exh 2'!E16)-1</f>
        <v>7.6287907847171432E-2</v>
      </c>
      <c r="G43" s="13">
        <f>('Exh 2'!G17/'Exh 2'!G16)/('Exh 2'!F17/'Exh 2'!F16)-1</f>
        <v>5.4003804237039876E-2</v>
      </c>
      <c r="H43" s="13">
        <f>('Exh 2'!H17/'Exh 2'!H16)/('Exh 2'!G17/'Exh 2'!G16)-1</f>
        <v>4.0307191104147266E-2</v>
      </c>
    </row>
    <row r="44" spans="1:8" s="13" customFormat="1" x14ac:dyDescent="0.2"/>
    <row r="45" spans="1:8" s="13" customFormat="1" x14ac:dyDescent="0.2">
      <c r="A45" s="52" t="s">
        <v>145</v>
      </c>
    </row>
    <row r="46" spans="1:8" s="12" customFormat="1" x14ac:dyDescent="0.2">
      <c r="B46" s="12" t="s">
        <v>146</v>
      </c>
      <c r="D46" s="53">
        <f>D13/'Exh 5'!D43</f>
        <v>1.492424274468019</v>
      </c>
      <c r="E46" s="53">
        <f>E13/'Exh 5'!E43</f>
        <v>1.5213246248667069</v>
      </c>
      <c r="F46" s="53">
        <f>F13/'Exh 5'!F43</f>
        <v>1.4436788130519813</v>
      </c>
      <c r="G46" s="53">
        <f>G13/'Exh 5'!G43</f>
        <v>1.5904498456291623</v>
      </c>
      <c r="H46" s="53">
        <f>H13/'Exh 5'!H43</f>
        <v>1.629896252001291</v>
      </c>
    </row>
    <row r="48" spans="1:8" x14ac:dyDescent="0.2">
      <c r="A48" s="2" t="s">
        <v>154</v>
      </c>
    </row>
  </sheetData>
  <mergeCells count="1">
    <mergeCell ref="D8:H8"/>
  </mergeCells>
  <phoneticPr fontId="10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/>
  </sheetViews>
  <sheetFormatPr defaultRowHeight="12" customHeight="1" x14ac:dyDescent="0.2"/>
  <cols>
    <col min="1" max="1" width="4.1640625" style="2" customWidth="1"/>
    <col min="2" max="2" width="22.6640625" style="2" customWidth="1"/>
    <col min="3" max="3" width="5.33203125" style="2" customWidth="1"/>
    <col min="4" max="9" width="11.1640625" style="2" customWidth="1"/>
    <col min="10" max="10" width="11" style="2" customWidth="1"/>
    <col min="11" max="11" width="14" style="2" customWidth="1"/>
    <col min="12" max="17" width="11" style="2" customWidth="1"/>
    <col min="18" max="18" width="13.1640625" style="2" customWidth="1"/>
    <col min="19" max="19" width="14.1640625" style="2" customWidth="1"/>
    <col min="20" max="20" width="12.83203125" style="2" customWidth="1"/>
    <col min="21" max="21" width="12.6640625" style="2" customWidth="1"/>
    <col min="22" max="22" width="13.5" style="2" customWidth="1"/>
    <col min="23" max="23" width="12.83203125" style="2" customWidth="1"/>
    <col min="24" max="24" width="11" style="2" customWidth="1"/>
    <col min="25" max="25" width="12.83203125" style="2" customWidth="1"/>
    <col min="26" max="26" width="11" style="2" customWidth="1"/>
    <col min="27" max="27" width="12" style="2" customWidth="1"/>
    <col min="28" max="16384" width="9.33203125" style="2"/>
  </cols>
  <sheetData>
    <row r="1" spans="1:10" customFormat="1" ht="15.75" x14ac:dyDescent="0.25">
      <c r="D1" s="34" t="s">
        <v>168</v>
      </c>
    </row>
    <row r="2" spans="1:10" customFormat="1" ht="15.75" x14ac:dyDescent="0.25">
      <c r="D2" s="36"/>
    </row>
    <row r="3" spans="1:10" customFormat="1" ht="15.75" x14ac:dyDescent="0.25">
      <c r="D3" s="37" t="s">
        <v>149</v>
      </c>
    </row>
    <row r="4" spans="1:10" ht="12" customHeight="1" x14ac:dyDescent="0.2">
      <c r="A4" s="1"/>
      <c r="B4" s="1"/>
      <c r="C4" s="3"/>
      <c r="D4" s="4"/>
      <c r="F4" s="3"/>
      <c r="G4" s="3"/>
      <c r="H4" s="3"/>
      <c r="I4" s="3"/>
    </row>
    <row r="5" spans="1:10" ht="12" customHeight="1" x14ac:dyDescent="0.25">
      <c r="A5" s="1"/>
      <c r="B5" s="1"/>
      <c r="C5" s="3"/>
      <c r="D5" s="63" t="s">
        <v>171</v>
      </c>
      <c r="F5" s="3"/>
      <c r="G5" s="3"/>
      <c r="H5" s="3"/>
      <c r="I5" s="3"/>
    </row>
    <row r="8" spans="1:10" ht="12" customHeight="1" x14ac:dyDescent="0.2">
      <c r="D8" s="102" t="s">
        <v>58</v>
      </c>
      <c r="E8" s="102"/>
      <c r="F8" s="102"/>
      <c r="G8" s="102"/>
      <c r="H8" s="102"/>
    </row>
    <row r="9" spans="1:10" s="24" customFormat="1" ht="12" customHeight="1" x14ac:dyDescent="0.2">
      <c r="A9" s="28" t="s">
        <v>61</v>
      </c>
      <c r="D9" s="24">
        <v>2001</v>
      </c>
      <c r="E9" s="24" t="s">
        <v>53</v>
      </c>
      <c r="F9" s="24" t="s">
        <v>54</v>
      </c>
      <c r="G9" s="24" t="s">
        <v>55</v>
      </c>
      <c r="H9" s="24" t="s">
        <v>56</v>
      </c>
      <c r="I9" s="24" t="s">
        <v>57</v>
      </c>
    </row>
    <row r="10" spans="1:10" s="12" customFormat="1" ht="12" customHeight="1" x14ac:dyDescent="0.2">
      <c r="A10" s="13"/>
    </row>
    <row r="11" spans="1:10" s="13" customFormat="1" ht="12.75" x14ac:dyDescent="0.2">
      <c r="B11" s="13" t="s">
        <v>45</v>
      </c>
      <c r="D11" s="13">
        <f>'Exh TN2'!H42</f>
        <v>0.14461538461538459</v>
      </c>
      <c r="E11" s="13">
        <v>0.16900000000000001</v>
      </c>
      <c r="F11" s="13">
        <v>0.15859999999999999</v>
      </c>
      <c r="G11" s="13">
        <v>0.13800000000000001</v>
      </c>
      <c r="H11" s="13">
        <v>0.13</v>
      </c>
      <c r="I11" s="13">
        <v>0.13</v>
      </c>
    </row>
    <row r="12" spans="1:10" s="13" customFormat="1" ht="12.75" x14ac:dyDescent="0.2">
      <c r="A12" s="2"/>
      <c r="B12" s="13" t="s">
        <v>44</v>
      </c>
      <c r="D12" s="13">
        <f>'Exh TN2'!H41</f>
        <v>2.869982030129159E-2</v>
      </c>
      <c r="E12" s="13">
        <v>2.9600000000000001E-2</v>
      </c>
      <c r="F12" s="13">
        <v>2.6200000000000001E-2</v>
      </c>
      <c r="G12" s="13">
        <v>3.9E-2</v>
      </c>
      <c r="H12" s="13">
        <v>4.9000000000000002E-2</v>
      </c>
      <c r="I12" s="13">
        <v>6.4000000000000001E-2</v>
      </c>
    </row>
    <row r="13" spans="1:10" ht="12" customHeight="1" x14ac:dyDescent="0.2">
      <c r="B13" s="13" t="s">
        <v>43</v>
      </c>
      <c r="D13" s="25">
        <f t="shared" ref="D13:I13" si="0">SUM(D11:D12)</f>
        <v>0.17331520491667618</v>
      </c>
      <c r="E13" s="25">
        <f t="shared" si="0"/>
        <v>0.1986</v>
      </c>
      <c r="F13" s="25">
        <f t="shared" si="0"/>
        <v>0.18479999999999999</v>
      </c>
      <c r="G13" s="25">
        <f t="shared" si="0"/>
        <v>0.17700000000000002</v>
      </c>
      <c r="H13" s="25">
        <f t="shared" si="0"/>
        <v>0.17899999999999999</v>
      </c>
      <c r="I13" s="25">
        <f t="shared" si="0"/>
        <v>0.19400000000000001</v>
      </c>
    </row>
    <row r="14" spans="1:10" ht="6" customHeight="1" x14ac:dyDescent="0.2">
      <c r="B14" s="13"/>
      <c r="D14" s="25"/>
      <c r="E14" s="25"/>
      <c r="F14" s="25"/>
      <c r="G14" s="25"/>
      <c r="H14" s="25"/>
      <c r="I14" s="25"/>
    </row>
    <row r="15" spans="1:10" s="25" customFormat="1" ht="12" customHeight="1" x14ac:dyDescent="0.2">
      <c r="B15" s="26" t="s">
        <v>35</v>
      </c>
      <c r="D15" s="25">
        <f>'Exh TN2'!H22</f>
        <v>0.28799284956683313</v>
      </c>
      <c r="E15" s="25">
        <v>0.29199999999999998</v>
      </c>
      <c r="F15" s="25">
        <v>0.29499999999999998</v>
      </c>
      <c r="G15" s="25">
        <f>F15</f>
        <v>0.29499999999999998</v>
      </c>
      <c r="H15" s="25">
        <f>G15</f>
        <v>0.29499999999999998</v>
      </c>
      <c r="I15" s="25">
        <f>H15</f>
        <v>0.29499999999999998</v>
      </c>
      <c r="J15" s="26"/>
    </row>
    <row r="16" spans="1:10" s="25" customFormat="1" ht="12" customHeight="1" x14ac:dyDescent="0.2">
      <c r="B16" s="13" t="s">
        <v>37</v>
      </c>
      <c r="D16" s="25">
        <f>'Exh TN2'!H23</f>
        <v>0.18253047291886051</v>
      </c>
      <c r="E16" s="25">
        <v>0.17699999999999999</v>
      </c>
      <c r="F16" s="25">
        <v>0.18</v>
      </c>
      <c r="G16" s="25">
        <f>F16</f>
        <v>0.18</v>
      </c>
      <c r="H16" s="25">
        <v>0.17699999999999999</v>
      </c>
      <c r="I16" s="25">
        <v>0.1754</v>
      </c>
    </row>
    <row r="17" spans="1:9" s="25" customFormat="1" ht="12" customHeight="1" x14ac:dyDescent="0.2">
      <c r="B17" s="13" t="s">
        <v>36</v>
      </c>
      <c r="D17" s="25">
        <f>'Exh TN2'!H24</f>
        <v>2.4155370232916414E-2</v>
      </c>
      <c r="E17" s="25">
        <f>D17</f>
        <v>2.4155370232916414E-2</v>
      </c>
      <c r="F17" s="25">
        <f>E17</f>
        <v>2.4155370232916414E-2</v>
      </c>
      <c r="G17" s="25">
        <f>F17</f>
        <v>2.4155370232916414E-2</v>
      </c>
      <c r="H17" s="25">
        <f>G17</f>
        <v>2.4155370232916414E-2</v>
      </c>
      <c r="I17" s="25">
        <f>H17</f>
        <v>2.4155370232916414E-2</v>
      </c>
    </row>
    <row r="18" spans="1:9" s="25" customFormat="1" ht="12" customHeight="1" x14ac:dyDescent="0.2">
      <c r="B18" s="26" t="s">
        <v>59</v>
      </c>
      <c r="D18" s="25">
        <v>0.37</v>
      </c>
      <c r="E18" s="25">
        <v>0.374</v>
      </c>
      <c r="F18" s="25">
        <v>0.375</v>
      </c>
      <c r="G18" s="25">
        <f>F18</f>
        <v>0.375</v>
      </c>
      <c r="H18" s="25">
        <f>G18</f>
        <v>0.375</v>
      </c>
      <c r="I18" s="25">
        <f>H18</f>
        <v>0.375</v>
      </c>
    </row>
    <row r="19" spans="1:9" s="25" customFormat="1" ht="12" customHeight="1" x14ac:dyDescent="0.2">
      <c r="B19" s="26"/>
    </row>
    <row r="20" spans="1:9" s="25" customFormat="1" ht="12" customHeight="1" x14ac:dyDescent="0.2">
      <c r="B20" t="s">
        <v>64</v>
      </c>
      <c r="D20" s="25">
        <f>'Exh 5'!H24/'Exh 5'!H11</f>
        <v>3.8588206434521509E-2</v>
      </c>
      <c r="E20" s="25">
        <f t="shared" ref="E20:I21" si="1">D20</f>
        <v>3.8588206434521509E-2</v>
      </c>
      <c r="F20" s="25">
        <v>4.1000000000000002E-2</v>
      </c>
      <c r="G20" s="25">
        <v>4.1000000000000002E-2</v>
      </c>
      <c r="H20" s="25">
        <v>4.4999999999999998E-2</v>
      </c>
      <c r="I20" s="25">
        <f t="shared" si="1"/>
        <v>4.4999999999999998E-2</v>
      </c>
    </row>
    <row r="21" spans="1:9" s="25" customFormat="1" ht="12" customHeight="1" x14ac:dyDescent="0.2">
      <c r="B21" t="s">
        <v>40</v>
      </c>
      <c r="D21" s="27">
        <f>'Exh TN2'!H33</f>
        <v>133.53892425322204</v>
      </c>
      <c r="E21" s="27">
        <f t="shared" si="1"/>
        <v>133.53892425322204</v>
      </c>
      <c r="F21" s="27">
        <f t="shared" si="1"/>
        <v>133.53892425322204</v>
      </c>
      <c r="G21" s="27">
        <f t="shared" si="1"/>
        <v>133.53892425322204</v>
      </c>
      <c r="H21" s="27">
        <f t="shared" si="1"/>
        <v>133.53892425322204</v>
      </c>
      <c r="I21" s="27">
        <f t="shared" si="1"/>
        <v>133.53892425322204</v>
      </c>
    </row>
    <row r="22" spans="1:9" s="25" customFormat="1" ht="12" customHeight="1" x14ac:dyDescent="0.2">
      <c r="B22" t="s">
        <v>41</v>
      </c>
      <c r="D22" s="27">
        <f>'Exh TN2'!H34</f>
        <v>4.3600785537513271</v>
      </c>
      <c r="E22" s="27">
        <f>D22</f>
        <v>4.3600785537513271</v>
      </c>
      <c r="F22" s="27">
        <f>E22</f>
        <v>4.3600785537513271</v>
      </c>
      <c r="G22" s="27">
        <v>4.2</v>
      </c>
      <c r="H22" s="27">
        <v>4.2</v>
      </c>
      <c r="I22" s="27">
        <v>4</v>
      </c>
    </row>
    <row r="23" spans="1:9" s="25" customFormat="1" ht="12" customHeight="1" x14ac:dyDescent="0.2">
      <c r="B23" t="s">
        <v>66</v>
      </c>
      <c r="D23" s="27">
        <f>'Exh TN2'!H31</f>
        <v>2.5551815873434829</v>
      </c>
      <c r="E23" s="27">
        <f>D23</f>
        <v>2.5551815873434829</v>
      </c>
      <c r="F23" s="27">
        <v>2.8</v>
      </c>
      <c r="G23" s="27">
        <v>3</v>
      </c>
      <c r="H23" s="27">
        <v>3.2</v>
      </c>
      <c r="I23" s="27">
        <v>3.2</v>
      </c>
    </row>
    <row r="24" spans="1:9" s="25" customFormat="1" ht="12" customHeight="1" x14ac:dyDescent="0.2">
      <c r="A24" s="2"/>
      <c r="B24" t="s">
        <v>65</v>
      </c>
      <c r="D24" s="25">
        <f>'Exh 5'!H33/'Exh 5'!H12</f>
        <v>0.10892122962787838</v>
      </c>
      <c r="E24" s="25">
        <f t="shared" ref="E24:I25" si="2">D24</f>
        <v>0.10892122962787838</v>
      </c>
      <c r="F24" s="25">
        <f t="shared" si="2"/>
        <v>0.10892122962787838</v>
      </c>
      <c r="G24" s="25">
        <f t="shared" si="2"/>
        <v>0.10892122962787838</v>
      </c>
      <c r="H24" s="25">
        <f t="shared" si="2"/>
        <v>0.10892122962787838</v>
      </c>
      <c r="I24" s="25">
        <f t="shared" si="2"/>
        <v>0.10892122962787838</v>
      </c>
    </row>
    <row r="25" spans="1:9" s="25" customFormat="1" ht="12" customHeight="1" x14ac:dyDescent="0.2">
      <c r="B25" s="9" t="s">
        <v>67</v>
      </c>
      <c r="D25" s="25">
        <f>'Exh 5'!H37/'Exh 5'!H11</f>
        <v>4.1694427977105444E-2</v>
      </c>
      <c r="E25" s="25">
        <f t="shared" si="2"/>
        <v>4.1694427977105444E-2</v>
      </c>
      <c r="F25" s="25">
        <f t="shared" si="2"/>
        <v>4.1694427977105444E-2</v>
      </c>
      <c r="G25" s="25">
        <f t="shared" si="2"/>
        <v>4.1694427977105444E-2</v>
      </c>
      <c r="H25" s="25">
        <f t="shared" si="2"/>
        <v>4.1694427977105444E-2</v>
      </c>
      <c r="I25" s="25">
        <f t="shared" si="2"/>
        <v>4.1694427977105444E-2</v>
      </c>
    </row>
    <row r="26" spans="1:9" s="25" customFormat="1" ht="12" customHeight="1" x14ac:dyDescent="0.2">
      <c r="B26" s="9"/>
    </row>
    <row r="27" spans="1:9" ht="12" customHeight="1" x14ac:dyDescent="0.2">
      <c r="A27" s="5" t="s">
        <v>60</v>
      </c>
      <c r="C27" s="8"/>
      <c r="D27" s="8"/>
      <c r="E27" s="8"/>
      <c r="F27" s="8"/>
      <c r="G27" s="8"/>
      <c r="H27" s="8"/>
      <c r="I27" s="8"/>
    </row>
    <row r="28" spans="1:9" ht="12" customHeight="1" x14ac:dyDescent="0.2">
      <c r="A28" s="9"/>
      <c r="B28" s="9" t="s">
        <v>28</v>
      </c>
      <c r="C28" s="8"/>
      <c r="D28" s="12">
        <v>744</v>
      </c>
      <c r="E28" s="12">
        <f>D28*(1+E11)</f>
        <v>869.73599999999999</v>
      </c>
      <c r="F28" s="12">
        <f>E28*(1+F11)</f>
        <v>1007.6761296000001</v>
      </c>
      <c r="G28" s="12">
        <f>F28*(1+G11)</f>
        <v>1146.7354354848001</v>
      </c>
      <c r="H28" s="12">
        <f>G28*(1+H11)</f>
        <v>1295.8110420978239</v>
      </c>
      <c r="I28" s="12">
        <f>H28*(1+I11)</f>
        <v>1464.2664775705409</v>
      </c>
    </row>
    <row r="29" spans="1:9" s="9" customFormat="1" ht="12" customHeight="1" x14ac:dyDescent="0.2">
      <c r="B29" s="9" t="s">
        <v>1</v>
      </c>
      <c r="D29" s="9">
        <v>22111.108</v>
      </c>
      <c r="E29" s="9">
        <f>D29*(1+E13)</f>
        <v>26502.374048799997</v>
      </c>
      <c r="F29" s="9">
        <f>E29*(1+F13)</f>
        <v>31400.012773018239</v>
      </c>
      <c r="G29" s="9">
        <f>F29*(1+G13)</f>
        <v>36957.815033842468</v>
      </c>
      <c r="H29" s="9">
        <f>G29*(1+H13)</f>
        <v>43573.263924900268</v>
      </c>
      <c r="I29" s="9">
        <f>H29*(1+I13)</f>
        <v>52026.477126330916</v>
      </c>
    </row>
    <row r="30" spans="1:9" s="9" customFormat="1" ht="12" customHeight="1" x14ac:dyDescent="0.2">
      <c r="B30" s="9" t="s">
        <v>2</v>
      </c>
      <c r="D30" s="10">
        <v>15743.267</v>
      </c>
      <c r="E30" s="10">
        <f>E29-E31</f>
        <v>18763.680826550397</v>
      </c>
      <c r="F30" s="10">
        <f>F29-F31</f>
        <v>22137.009004977859</v>
      </c>
      <c r="G30" s="10">
        <f>G29-G31</f>
        <v>26055.259598858938</v>
      </c>
      <c r="H30" s="10">
        <f>H29-H31</f>
        <v>30719.151067054689</v>
      </c>
      <c r="I30" s="10">
        <f>I29-I31</f>
        <v>36678.666374063294</v>
      </c>
    </row>
    <row r="31" spans="1:9" s="9" customFormat="1" ht="12" customHeight="1" x14ac:dyDescent="0.2">
      <c r="B31" s="9" t="s">
        <v>3</v>
      </c>
      <c r="D31" s="9">
        <f>D29-D30</f>
        <v>6367.8410000000003</v>
      </c>
      <c r="E31" s="9">
        <f>E15*E29</f>
        <v>7738.6932222495989</v>
      </c>
      <c r="F31" s="9">
        <f>F15*F29</f>
        <v>9263.0037680403802</v>
      </c>
      <c r="G31" s="9">
        <f>G15*G29</f>
        <v>10902.555434983527</v>
      </c>
      <c r="H31" s="9">
        <f>H15*H29</f>
        <v>12854.112857845579</v>
      </c>
      <c r="I31" s="9">
        <f>I15*I29</f>
        <v>15347.81075226762</v>
      </c>
    </row>
    <row r="32" spans="1:9" s="9" customFormat="1" ht="12" customHeight="1" x14ac:dyDescent="0.2">
      <c r="B32" s="9" t="s">
        <v>62</v>
      </c>
      <c r="D32" s="9">
        <f>3913.355+139.87+516.828-D33</f>
        <v>4035.951</v>
      </c>
      <c r="E32" s="9">
        <f>E29*E16</f>
        <v>4690.9202066375992</v>
      </c>
      <c r="F32" s="9">
        <f>F29*F16</f>
        <v>5652.0022991432825</v>
      </c>
      <c r="G32" s="9">
        <f>G29*G16</f>
        <v>6652.4067060916441</v>
      </c>
      <c r="H32" s="9">
        <f>H29*H16</f>
        <v>7712.4677147073471</v>
      </c>
      <c r="I32" s="9">
        <f>I29*I16</f>
        <v>9125.4440879584417</v>
      </c>
    </row>
    <row r="33" spans="1:10" s="9" customFormat="1" ht="12" customHeight="1" x14ac:dyDescent="0.2">
      <c r="B33" s="9" t="s">
        <v>97</v>
      </c>
      <c r="D33" s="10">
        <v>534.10199999999998</v>
      </c>
      <c r="E33" s="10">
        <f>E29*E17</f>
        <v>640.17465719999996</v>
      </c>
      <c r="F33" s="10">
        <f>F29*F17</f>
        <v>758.47893385056</v>
      </c>
      <c r="G33" s="10">
        <f>G29*G17</f>
        <v>892.72970514210908</v>
      </c>
      <c r="H33" s="10">
        <f>H29*H17</f>
        <v>1052.5283223625465</v>
      </c>
      <c r="I33" s="10">
        <f>I29*I17</f>
        <v>1256.7188169008805</v>
      </c>
      <c r="J33" s="13"/>
    </row>
    <row r="34" spans="1:10" s="9" customFormat="1" ht="12" customHeight="1" x14ac:dyDescent="0.2">
      <c r="B34" s="9" t="s">
        <v>5</v>
      </c>
      <c r="D34" s="9">
        <f t="shared" ref="D34:I34" si="3">D31-D32-D33</f>
        <v>1797.7880000000005</v>
      </c>
      <c r="E34" s="9">
        <f t="shared" si="3"/>
        <v>2407.5983584119995</v>
      </c>
      <c r="F34" s="9">
        <f t="shared" si="3"/>
        <v>2852.522535046538</v>
      </c>
      <c r="G34" s="9">
        <f t="shared" si="3"/>
        <v>3357.4190237497742</v>
      </c>
      <c r="H34" s="9">
        <f t="shared" si="3"/>
        <v>4089.1168207756855</v>
      </c>
      <c r="I34" s="9">
        <f t="shared" si="3"/>
        <v>4965.6478474082978</v>
      </c>
      <c r="J34" s="13"/>
    </row>
    <row r="35" spans="1:10" s="9" customFormat="1" ht="12" customHeight="1" x14ac:dyDescent="0.2">
      <c r="B35" s="9" t="s">
        <v>63</v>
      </c>
      <c r="D35" s="9">
        <f t="shared" ref="D35:I35" si="4">D34*(1-D18)</f>
        <v>1132.6064400000002</v>
      </c>
      <c r="E35" s="9">
        <f t="shared" si="4"/>
        <v>1507.1565723659116</v>
      </c>
      <c r="F35" s="9">
        <f t="shared" si="4"/>
        <v>1782.8265844040861</v>
      </c>
      <c r="G35" s="9">
        <f t="shared" si="4"/>
        <v>2098.386889843609</v>
      </c>
      <c r="H35" s="9">
        <f t="shared" si="4"/>
        <v>2555.6980129848034</v>
      </c>
      <c r="I35" s="9">
        <f t="shared" si="4"/>
        <v>3103.5299046301861</v>
      </c>
      <c r="J35" s="13"/>
    </row>
    <row r="36" spans="1:10" s="9" customFormat="1" ht="12" customHeight="1" x14ac:dyDescent="0.2"/>
    <row r="37" spans="1:10" ht="12" customHeight="1" x14ac:dyDescent="0.2">
      <c r="A37" s="9"/>
      <c r="B37" s="9" t="s">
        <v>10</v>
      </c>
      <c r="C37" s="8"/>
      <c r="D37" s="20">
        <v>853</v>
      </c>
      <c r="E37" s="20">
        <f>E29*E20</f>
        <v>1022.6790807999998</v>
      </c>
      <c r="F37" s="20">
        <f>F29*F20</f>
        <v>1287.4005236937478</v>
      </c>
      <c r="G37" s="20">
        <f>G29*G20</f>
        <v>1515.2704163875412</v>
      </c>
      <c r="H37" s="20">
        <f>H29*H20</f>
        <v>1960.796876620512</v>
      </c>
      <c r="I37" s="20">
        <f>I29*I20</f>
        <v>2341.1914706848911</v>
      </c>
    </row>
    <row r="38" spans="1:10" s="9" customFormat="1" ht="12" customHeight="1" x14ac:dyDescent="0.2">
      <c r="B38" s="9" t="s">
        <v>11</v>
      </c>
      <c r="D38" s="20">
        <v>166</v>
      </c>
      <c r="E38" s="20">
        <f t="shared" ref="E38:I39" si="5">E29/E21</f>
        <v>198.46179079999999</v>
      </c>
      <c r="F38" s="20">
        <f t="shared" si="5"/>
        <v>235.13752973984001</v>
      </c>
      <c r="G38" s="20">
        <f t="shared" si="5"/>
        <v>276.75687250379167</v>
      </c>
      <c r="H38" s="20">
        <f t="shared" si="5"/>
        <v>326.2963526819704</v>
      </c>
      <c r="I38" s="20">
        <f t="shared" si="5"/>
        <v>389.59784510227263</v>
      </c>
    </row>
    <row r="39" spans="1:10" s="9" customFormat="1" ht="12" customHeight="1" x14ac:dyDescent="0.2">
      <c r="B39" s="9" t="s">
        <v>12</v>
      </c>
      <c r="D39" s="20">
        <v>3611</v>
      </c>
      <c r="E39" s="20">
        <f t="shared" si="5"/>
        <v>4303.5189837133757</v>
      </c>
      <c r="F39" s="20">
        <f t="shared" si="5"/>
        <v>5077.2041677853731</v>
      </c>
      <c r="G39" s="20">
        <f t="shared" si="5"/>
        <v>6203.6332378235566</v>
      </c>
      <c r="H39" s="20">
        <f t="shared" si="5"/>
        <v>7314.0835873939732</v>
      </c>
      <c r="I39" s="20">
        <f t="shared" si="5"/>
        <v>9169.6665935158235</v>
      </c>
    </row>
    <row r="40" spans="1:10" s="9" customFormat="1" ht="12" customHeight="1" x14ac:dyDescent="0.2">
      <c r="B40" s="9" t="s">
        <v>13</v>
      </c>
      <c r="D40" s="58">
        <v>291</v>
      </c>
      <c r="E40" s="58">
        <f>D40</f>
        <v>291</v>
      </c>
      <c r="F40" s="58">
        <f>E40</f>
        <v>291</v>
      </c>
      <c r="G40" s="58">
        <f>F40</f>
        <v>291</v>
      </c>
      <c r="H40" s="58">
        <f>G40</f>
        <v>291</v>
      </c>
      <c r="I40" s="58">
        <f>H40</f>
        <v>291</v>
      </c>
    </row>
    <row r="41" spans="1:10" s="9" customFormat="1" ht="12" customHeight="1" x14ac:dyDescent="0.2">
      <c r="B41" s="9" t="s">
        <v>14</v>
      </c>
      <c r="D41" s="20">
        <f t="shared" ref="D41:I41" si="6">SUM(D37:D40)</f>
        <v>4921</v>
      </c>
      <c r="E41" s="20">
        <f t="shared" si="6"/>
        <v>5815.6598553133754</v>
      </c>
      <c r="F41" s="20">
        <f t="shared" si="6"/>
        <v>6890.7422212189613</v>
      </c>
      <c r="G41" s="20">
        <f t="shared" si="6"/>
        <v>8286.6605267148898</v>
      </c>
      <c r="H41" s="20">
        <f t="shared" si="6"/>
        <v>9892.1768166964557</v>
      </c>
      <c r="I41" s="20">
        <f t="shared" si="6"/>
        <v>12191.455909302987</v>
      </c>
    </row>
    <row r="42" spans="1:10" s="9" customFormat="1" ht="12" customHeight="1" x14ac:dyDescent="0.2">
      <c r="A42" s="2"/>
      <c r="B42" s="9" t="s">
        <v>18</v>
      </c>
      <c r="D42" s="20">
        <v>1715</v>
      </c>
      <c r="E42" s="20">
        <f>E30*E24</f>
        <v>2043.7631879729147</v>
      </c>
      <c r="F42" s="20">
        <f>F30*F24</f>
        <v>2411.1902411056049</v>
      </c>
      <c r="G42" s="20">
        <f>G30*G24</f>
        <v>2837.970913781297</v>
      </c>
      <c r="H42" s="20">
        <f>H30*H24</f>
        <v>3345.9677073481489</v>
      </c>
      <c r="I42" s="20">
        <f>I30*I24</f>
        <v>3995.0854425736893</v>
      </c>
    </row>
    <row r="43" spans="1:10" s="9" customFormat="1" ht="12" customHeight="1" x14ac:dyDescent="0.2">
      <c r="A43" s="2"/>
      <c r="B43" s="9" t="s">
        <v>19</v>
      </c>
      <c r="D43" s="20">
        <v>221</v>
      </c>
      <c r="E43" s="20">
        <f>D43</f>
        <v>221</v>
      </c>
      <c r="F43" s="20">
        <f>E43</f>
        <v>221</v>
      </c>
      <c r="G43" s="20">
        <f>F43</f>
        <v>221</v>
      </c>
      <c r="H43" s="20">
        <f>G43</f>
        <v>221</v>
      </c>
      <c r="I43" s="20">
        <f>H43</f>
        <v>221</v>
      </c>
    </row>
    <row r="44" spans="1:10" s="9" customFormat="1" ht="12" customHeight="1" x14ac:dyDescent="0.2">
      <c r="A44" s="12"/>
      <c r="B44" s="9" t="s">
        <v>22</v>
      </c>
      <c r="D44" s="58">
        <v>922</v>
      </c>
      <c r="E44" s="58">
        <f>E29*E25</f>
        <v>1105.0013259999998</v>
      </c>
      <c r="F44" s="58">
        <f>F29*F25</f>
        <v>1309.2055710448001</v>
      </c>
      <c r="G44" s="58">
        <f>G29*G25</f>
        <v>1540.9349571197295</v>
      </c>
      <c r="H44" s="58">
        <f>H29*H25</f>
        <v>1816.7623144441611</v>
      </c>
      <c r="I44" s="58">
        <f>I29*I25</f>
        <v>2169.2142034463282</v>
      </c>
    </row>
    <row r="45" spans="1:10" s="9" customFormat="1" ht="12" customHeight="1" x14ac:dyDescent="0.2">
      <c r="A45" s="12"/>
      <c r="B45" s="12" t="s">
        <v>148</v>
      </c>
      <c r="D45" s="58">
        <f t="shared" ref="D45:I45" si="7">SUM(D42:D44)</f>
        <v>2858</v>
      </c>
      <c r="E45" s="58">
        <f t="shared" si="7"/>
        <v>3369.7645139729148</v>
      </c>
      <c r="F45" s="58">
        <f t="shared" si="7"/>
        <v>3941.3958121504047</v>
      </c>
      <c r="G45" s="58">
        <f t="shared" si="7"/>
        <v>4599.905870901026</v>
      </c>
      <c r="H45" s="58">
        <f t="shared" si="7"/>
        <v>5383.7300217923103</v>
      </c>
      <c r="I45" s="58">
        <f t="shared" si="7"/>
        <v>6385.2996460200175</v>
      </c>
    </row>
    <row r="46" spans="1:10" s="9" customFormat="1" ht="12" customHeight="1" x14ac:dyDescent="0.2">
      <c r="B46" s="12" t="s">
        <v>68</v>
      </c>
      <c r="D46" s="20">
        <f t="shared" ref="D46:I46" si="8">D41-D45</f>
        <v>2063</v>
      </c>
      <c r="E46" s="20">
        <f t="shared" si="8"/>
        <v>2445.8953413404606</v>
      </c>
      <c r="F46" s="20">
        <f t="shared" si="8"/>
        <v>2949.3464090685566</v>
      </c>
      <c r="G46" s="20">
        <f t="shared" si="8"/>
        <v>3686.7546558138638</v>
      </c>
      <c r="H46" s="20">
        <f t="shared" si="8"/>
        <v>4508.4467949041455</v>
      </c>
      <c r="I46" s="20">
        <f t="shared" si="8"/>
        <v>5806.15626328297</v>
      </c>
      <c r="J46" s="92"/>
    </row>
    <row r="47" spans="1:10" ht="12" customHeight="1" x14ac:dyDescent="0.2">
      <c r="A47" s="9"/>
      <c r="B47" s="9" t="s">
        <v>15</v>
      </c>
      <c r="D47" s="20">
        <v>8653</v>
      </c>
      <c r="E47" s="20">
        <f>E29/E23</f>
        <v>10372.011985399999</v>
      </c>
      <c r="F47" s="20">
        <f>F29/F23</f>
        <v>11214.290276077943</v>
      </c>
      <c r="G47" s="20">
        <f>G29/G23</f>
        <v>12319.271677947489</v>
      </c>
      <c r="H47" s="20">
        <f>H29/H23</f>
        <v>13616.644976531334</v>
      </c>
      <c r="I47" s="20">
        <f>I29/I23</f>
        <v>16258.27410197841</v>
      </c>
    </row>
    <row r="48" spans="1:10" ht="12" customHeight="1" x14ac:dyDescent="0.2">
      <c r="B48" s="9" t="s">
        <v>16</v>
      </c>
      <c r="D48" s="58">
        <v>162</v>
      </c>
      <c r="E48" s="58">
        <f>D48</f>
        <v>162</v>
      </c>
      <c r="F48" s="58">
        <f>E48</f>
        <v>162</v>
      </c>
      <c r="G48" s="58">
        <f>F48</f>
        <v>162</v>
      </c>
      <c r="H48" s="58">
        <f>G48</f>
        <v>162</v>
      </c>
      <c r="I48" s="58">
        <f>H48</f>
        <v>162</v>
      </c>
    </row>
    <row r="49" spans="1:9" s="12" customFormat="1" ht="12" customHeight="1" x14ac:dyDescent="0.2">
      <c r="A49" s="13"/>
      <c r="B49" s="12" t="s">
        <v>74</v>
      </c>
      <c r="D49" s="20">
        <f t="shared" ref="D49:I49" si="9">SUM(D46:D48)</f>
        <v>10878</v>
      </c>
      <c r="E49" s="20">
        <f t="shared" si="9"/>
        <v>12979.90732674046</v>
      </c>
      <c r="F49" s="20">
        <f t="shared" si="9"/>
        <v>14325.636685146499</v>
      </c>
      <c r="G49" s="20">
        <f t="shared" si="9"/>
        <v>16168.026333761352</v>
      </c>
      <c r="H49" s="20">
        <f t="shared" si="9"/>
        <v>18287.09177143548</v>
      </c>
      <c r="I49" s="20">
        <f t="shared" si="9"/>
        <v>22226.430365261382</v>
      </c>
    </row>
    <row r="50" spans="1:9" s="12" customFormat="1" ht="12" customHeight="1" x14ac:dyDescent="0.2">
      <c r="A50" s="2"/>
      <c r="B50" s="61" t="s">
        <v>147</v>
      </c>
      <c r="C50" s="61"/>
      <c r="D50" s="93">
        <f t="shared" ref="D50:I50" si="10">D35/D49</f>
        <v>0.10411899613899617</v>
      </c>
      <c r="E50" s="93">
        <f t="shared" si="10"/>
        <v>0.11611458652412365</v>
      </c>
      <c r="F50" s="93">
        <f t="shared" si="10"/>
        <v>0.12445007671125748</v>
      </c>
      <c r="G50" s="93">
        <f t="shared" si="10"/>
        <v>0.12978621178157354</v>
      </c>
      <c r="H50" s="93">
        <f t="shared" si="10"/>
        <v>0.13975420722593054</v>
      </c>
      <c r="I50" s="93">
        <f t="shared" si="10"/>
        <v>0.13963240401755303</v>
      </c>
    </row>
    <row r="51" spans="1:9" s="13" customFormat="1" ht="12.75" x14ac:dyDescent="0.2">
      <c r="A51" s="2"/>
      <c r="B51" s="2"/>
    </row>
  </sheetData>
  <mergeCells count="1">
    <mergeCell ref="D8:H8"/>
  </mergeCells>
  <phoneticPr fontId="10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workbookViewId="0"/>
  </sheetViews>
  <sheetFormatPr defaultRowHeight="12.75" x14ac:dyDescent="0.2"/>
  <cols>
    <col min="1" max="1" width="3.5" customWidth="1"/>
    <col min="2" max="2" width="15.6640625" customWidth="1"/>
  </cols>
  <sheetData>
    <row r="1" spans="1:11" ht="15.75" x14ac:dyDescent="0.25">
      <c r="F1" s="34" t="s">
        <v>177</v>
      </c>
    </row>
    <row r="2" spans="1:11" ht="15.75" x14ac:dyDescent="0.25">
      <c r="F2" s="36"/>
    </row>
    <row r="3" spans="1:11" ht="15.75" x14ac:dyDescent="0.25">
      <c r="F3" s="37" t="s">
        <v>149</v>
      </c>
    </row>
    <row r="4" spans="1:11" s="2" customFormat="1" ht="12" customHeight="1" x14ac:dyDescent="0.2">
      <c r="A4" s="1"/>
      <c r="B4" s="1"/>
      <c r="C4" s="1"/>
      <c r="D4" s="1"/>
      <c r="E4" s="3"/>
      <c r="F4" s="4"/>
      <c r="H4" s="3"/>
      <c r="I4" s="3"/>
      <c r="J4" s="3"/>
      <c r="K4" s="3"/>
    </row>
    <row r="5" spans="1:11" s="2" customFormat="1" ht="12" customHeight="1" x14ac:dyDescent="0.25">
      <c r="A5" s="1"/>
      <c r="B5" s="1"/>
      <c r="C5" s="1"/>
      <c r="D5" s="1"/>
      <c r="E5" s="3"/>
      <c r="F5" s="63" t="s">
        <v>178</v>
      </c>
      <c r="H5" s="3"/>
      <c r="I5" s="3"/>
      <c r="J5" s="3"/>
      <c r="K5" s="3"/>
    </row>
    <row r="31" spans="1:12" x14ac:dyDescent="0.2">
      <c r="A31" t="s">
        <v>176</v>
      </c>
      <c r="C31">
        <f>D31-1</f>
        <v>1997</v>
      </c>
      <c r="D31">
        <f>E31-1</f>
        <v>1998</v>
      </c>
      <c r="E31">
        <f>F31-1</f>
        <v>1999</v>
      </c>
      <c r="F31">
        <f>G31-1</f>
        <v>2000</v>
      </c>
      <c r="G31">
        <v>2001</v>
      </c>
      <c r="H31">
        <f>G31+1</f>
        <v>2002</v>
      </c>
      <c r="I31">
        <f>H31+1</f>
        <v>2003</v>
      </c>
      <c r="J31">
        <f>I31+1</f>
        <v>2004</v>
      </c>
      <c r="K31">
        <f>J31+1</f>
        <v>2005</v>
      </c>
      <c r="L31">
        <f>K31+1</f>
        <v>2006</v>
      </c>
    </row>
    <row r="32" spans="1:12" s="94" customFormat="1" x14ac:dyDescent="0.2">
      <c r="B32" s="94" t="s">
        <v>173</v>
      </c>
      <c r="C32" s="94">
        <v>24.155999999999999</v>
      </c>
      <c r="D32" s="94">
        <v>30.219000000000001</v>
      </c>
      <c r="E32" s="94">
        <v>38.433999999999997</v>
      </c>
      <c r="F32" s="94">
        <v>45.738</v>
      </c>
      <c r="G32" s="94">
        <v>53.552999999999997</v>
      </c>
      <c r="H32" s="94">
        <v>63.194548739684919</v>
      </c>
      <c r="I32" s="94">
        <v>74.049335806960755</v>
      </c>
      <c r="J32" s="94">
        <v>86.85987090156496</v>
      </c>
      <c r="K32" s="94">
        <v>100.14943114950441</v>
      </c>
      <c r="L32" s="94">
        <v>114.00009747748086</v>
      </c>
    </row>
    <row r="33" spans="2:12" s="94" customFormat="1" x14ac:dyDescent="0.2">
      <c r="B33" s="94" t="s">
        <v>174</v>
      </c>
      <c r="C33" s="94">
        <v>10.136889999999999</v>
      </c>
      <c r="D33" s="94">
        <v>12.244882</v>
      </c>
      <c r="E33" s="94">
        <v>15.905595</v>
      </c>
      <c r="F33" s="94">
        <v>18.778559000000001</v>
      </c>
      <c r="G33" s="94">
        <v>22.111108000000002</v>
      </c>
      <c r="H33" s="94">
        <v>26.502374048799997</v>
      </c>
      <c r="I33" s="94">
        <v>31.40001277301824</v>
      </c>
      <c r="J33" s="94">
        <v>36.957815033842465</v>
      </c>
      <c r="K33" s="94">
        <v>43.573263924900267</v>
      </c>
      <c r="L33" s="94">
        <v>52.026477126330917</v>
      </c>
    </row>
    <row r="34" spans="2:12" s="94" customFormat="1" x14ac:dyDescent="0.2">
      <c r="B34" s="94" t="s">
        <v>175</v>
      </c>
      <c r="C34" s="94">
        <v>104.50711000000001</v>
      </c>
      <c r="D34" s="94">
        <v>107.03611800000002</v>
      </c>
      <c r="E34" s="94">
        <v>105.36040499999999</v>
      </c>
      <c r="F34" s="94">
        <v>103.483441</v>
      </c>
      <c r="G34" s="94">
        <v>98.53589199999999</v>
      </c>
      <c r="H34" s="94">
        <v>88.503077211515077</v>
      </c>
      <c r="I34" s="94">
        <v>75.804194911597506</v>
      </c>
      <c r="J34" s="94">
        <f>J35-J33-J32</f>
        <v>60.541724997548869</v>
      </c>
      <c r="K34" s="94">
        <f>K35-K33-K32</f>
        <v>43.795803846010728</v>
      </c>
      <c r="L34" s="94">
        <f>L35-L33-L32</f>
        <v>27.973425396188219</v>
      </c>
    </row>
    <row r="35" spans="2:12" s="94" customFormat="1" x14ac:dyDescent="0.2">
      <c r="B35" s="94" t="s">
        <v>172</v>
      </c>
      <c r="C35" s="94">
        <v>138.80000000000001</v>
      </c>
      <c r="D35" s="94">
        <v>149.5</v>
      </c>
      <c r="E35" s="94">
        <v>159.69999999999999</v>
      </c>
      <c r="F35" s="94">
        <v>168</v>
      </c>
      <c r="G35" s="94">
        <v>174.2</v>
      </c>
      <c r="H35" s="94">
        <v>178.2</v>
      </c>
      <c r="I35" s="94">
        <v>181.25354349157649</v>
      </c>
      <c r="J35" s="94">
        <f>($L35/$H35)^0.2*I35</f>
        <v>184.35941093295631</v>
      </c>
      <c r="K35" s="94">
        <f>($L35/$H35)^0.2*J35</f>
        <v>187.5184989204154</v>
      </c>
      <c r="L35" s="94">
        <v>194</v>
      </c>
    </row>
  </sheetData>
  <phoneticPr fontId="10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/>
  </sheetViews>
  <sheetFormatPr defaultRowHeight="12.75" x14ac:dyDescent="0.2"/>
  <cols>
    <col min="1" max="1" width="23.1640625" customWidth="1"/>
  </cols>
  <sheetData>
    <row r="1" spans="1:8" ht="15.75" x14ac:dyDescent="0.25">
      <c r="D1" s="34" t="s">
        <v>95</v>
      </c>
    </row>
    <row r="2" spans="1:8" ht="15.75" x14ac:dyDescent="0.25">
      <c r="D2" s="36"/>
    </row>
    <row r="3" spans="1:8" ht="15.75" x14ac:dyDescent="0.25">
      <c r="D3" s="37" t="s">
        <v>101</v>
      </c>
    </row>
    <row r="4" spans="1:8" ht="15.75" x14ac:dyDescent="0.25">
      <c r="D4" s="36"/>
    </row>
    <row r="5" spans="1:8" ht="15.75" x14ac:dyDescent="0.25">
      <c r="D5" s="36" t="s">
        <v>102</v>
      </c>
    </row>
    <row r="6" spans="1:8" ht="15.75" x14ac:dyDescent="0.25">
      <c r="A6" s="36"/>
    </row>
    <row r="7" spans="1:8" ht="14.25" customHeight="1" x14ac:dyDescent="0.2">
      <c r="A7" s="38" t="s">
        <v>103</v>
      </c>
      <c r="B7" s="39">
        <v>1997</v>
      </c>
      <c r="C7" s="39">
        <v>1998</v>
      </c>
      <c r="D7" s="39">
        <v>1999</v>
      </c>
      <c r="E7" s="39">
        <v>2000</v>
      </c>
      <c r="F7" s="39">
        <v>2001</v>
      </c>
      <c r="G7" s="39">
        <v>2002</v>
      </c>
      <c r="H7" s="39">
        <v>2006</v>
      </c>
    </row>
    <row r="8" spans="1:8" ht="14.25" customHeight="1" x14ac:dyDescent="0.2">
      <c r="A8" s="40" t="s">
        <v>104</v>
      </c>
      <c r="B8" s="41">
        <v>22.8</v>
      </c>
      <c r="C8" s="41"/>
      <c r="D8" s="41"/>
      <c r="E8" s="41"/>
      <c r="F8" s="41">
        <v>26.2</v>
      </c>
      <c r="G8" s="41">
        <v>26.2</v>
      </c>
      <c r="H8" s="41">
        <v>26</v>
      </c>
    </row>
    <row r="9" spans="1:8" ht="14.25" customHeight="1" x14ac:dyDescent="0.2">
      <c r="A9" s="40" t="s">
        <v>105</v>
      </c>
      <c r="B9" s="41">
        <v>64.5</v>
      </c>
      <c r="C9" s="41"/>
      <c r="D9" s="41"/>
      <c r="E9" s="41"/>
      <c r="F9" s="41">
        <v>89</v>
      </c>
      <c r="G9" s="41">
        <v>91.9</v>
      </c>
      <c r="H9" s="41">
        <v>102</v>
      </c>
    </row>
    <row r="10" spans="1:8" ht="14.25" customHeight="1" x14ac:dyDescent="0.2">
      <c r="A10" s="40" t="s">
        <v>106</v>
      </c>
      <c r="B10" s="41">
        <v>51.5</v>
      </c>
      <c r="C10" s="41"/>
      <c r="D10" s="41"/>
      <c r="E10" s="41"/>
      <c r="F10" s="41">
        <v>59</v>
      </c>
      <c r="G10" s="41">
        <v>60.1</v>
      </c>
      <c r="H10" s="41">
        <v>66</v>
      </c>
    </row>
    <row r="11" spans="1:8" ht="14.25" customHeight="1" x14ac:dyDescent="0.2">
      <c r="A11" s="40" t="s">
        <v>107</v>
      </c>
      <c r="B11" s="41">
        <v>138.80000000000001</v>
      </c>
      <c r="C11" s="41">
        <v>149.5</v>
      </c>
      <c r="D11" s="41">
        <v>159.69999999999999</v>
      </c>
      <c r="E11" s="41">
        <v>168</v>
      </c>
      <c r="F11" s="41">
        <v>174.2</v>
      </c>
      <c r="G11" s="41">
        <v>178.2</v>
      </c>
      <c r="H11" s="41">
        <v>194</v>
      </c>
    </row>
    <row r="12" spans="1:8" ht="14.25" customHeight="1" x14ac:dyDescent="0.25">
      <c r="A12" s="35"/>
    </row>
    <row r="13" spans="1:8" ht="14.25" customHeight="1" x14ac:dyDescent="0.2">
      <c r="A13" s="38" t="s">
        <v>108</v>
      </c>
      <c r="B13" s="39">
        <v>2001</v>
      </c>
    </row>
    <row r="14" spans="1:8" ht="14.25" customHeight="1" x14ac:dyDescent="0.2">
      <c r="A14" s="40" t="s">
        <v>109</v>
      </c>
      <c r="B14" s="42">
        <v>0.22900000000000001</v>
      </c>
    </row>
    <row r="15" spans="1:8" ht="14.25" customHeight="1" x14ac:dyDescent="0.2">
      <c r="A15" s="40" t="s">
        <v>110</v>
      </c>
      <c r="B15" s="42">
        <v>0.108</v>
      </c>
    </row>
    <row r="16" spans="1:8" ht="14.25" customHeight="1" x14ac:dyDescent="0.2">
      <c r="A16" s="40" t="s">
        <v>111</v>
      </c>
      <c r="B16" s="42">
        <v>2.9000000000000001E-2</v>
      </c>
    </row>
    <row r="17" spans="1:2" ht="14.25" customHeight="1" x14ac:dyDescent="0.2">
      <c r="A17" s="40" t="s">
        <v>112</v>
      </c>
      <c r="B17" s="42">
        <v>1.4999999999999999E-2</v>
      </c>
    </row>
    <row r="18" spans="1:2" ht="14.25" customHeight="1" x14ac:dyDescent="0.25">
      <c r="A18" s="34"/>
    </row>
    <row r="19" spans="1:2" ht="14.25" customHeight="1" x14ac:dyDescent="0.25">
      <c r="A19" s="43" t="s">
        <v>113</v>
      </c>
    </row>
  </sheetData>
  <phoneticPr fontId="1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1"/>
  <sheetViews>
    <sheetView workbookViewId="0"/>
  </sheetViews>
  <sheetFormatPr defaultRowHeight="12.75" x14ac:dyDescent="0.2"/>
  <cols>
    <col min="3" max="3" width="16.83203125" customWidth="1"/>
  </cols>
  <sheetData>
    <row r="3" spans="1:8" x14ac:dyDescent="0.2">
      <c r="F3" s="2" t="s">
        <v>180</v>
      </c>
    </row>
    <row r="5" spans="1:8" x14ac:dyDescent="0.2">
      <c r="A5" s="29"/>
      <c r="B5" s="29"/>
      <c r="C5" s="29"/>
      <c r="D5" s="29"/>
      <c r="E5" s="29"/>
      <c r="F5" s="97" t="s">
        <v>71</v>
      </c>
      <c r="G5" s="97"/>
      <c r="H5" s="29"/>
    </row>
    <row r="6" spans="1:8" x14ac:dyDescent="0.2">
      <c r="A6" s="29"/>
      <c r="B6" s="29"/>
      <c r="C6" s="29"/>
      <c r="D6" s="30">
        <v>1997</v>
      </c>
      <c r="E6" s="30">
        <v>1998</v>
      </c>
      <c r="F6" s="30">
        <v>1999</v>
      </c>
      <c r="G6" s="30">
        <v>2000</v>
      </c>
      <c r="H6" s="30">
        <v>2001</v>
      </c>
    </row>
    <row r="7" spans="1:8" x14ac:dyDescent="0.2">
      <c r="A7" s="29"/>
      <c r="B7" s="29"/>
      <c r="C7" s="29"/>
      <c r="D7" s="29"/>
      <c r="E7" s="29"/>
      <c r="F7" s="29"/>
      <c r="G7" s="29"/>
      <c r="H7" s="29"/>
    </row>
    <row r="8" spans="1:8" x14ac:dyDescent="0.2">
      <c r="A8" s="97" t="s">
        <v>51</v>
      </c>
      <c r="B8" s="97"/>
      <c r="C8" s="97"/>
      <c r="D8" s="29"/>
      <c r="E8" s="29"/>
      <c r="F8" s="29"/>
      <c r="G8" s="29"/>
      <c r="H8" s="29"/>
    </row>
    <row r="9" spans="1:8" x14ac:dyDescent="0.2">
      <c r="A9" s="29"/>
      <c r="B9" s="98" t="s">
        <v>73</v>
      </c>
      <c r="C9" s="98"/>
      <c r="D9" s="29">
        <v>624</v>
      </c>
      <c r="E9" s="29">
        <v>761</v>
      </c>
      <c r="F9" s="29">
        <v>930</v>
      </c>
      <c r="G9" s="29">
        <v>1134</v>
      </c>
      <c r="H9" s="29">
        <v>1333</v>
      </c>
    </row>
    <row r="10" spans="1:8" x14ac:dyDescent="0.2">
      <c r="A10" s="29"/>
      <c r="B10" s="98" t="s">
        <v>31</v>
      </c>
      <c r="C10" s="98"/>
      <c r="D10" s="96">
        <v>66</v>
      </c>
      <c r="E10" s="96">
        <v>81</v>
      </c>
      <c r="F10" s="96">
        <v>100</v>
      </c>
      <c r="G10" s="96">
        <v>123</v>
      </c>
      <c r="H10" s="96">
        <v>146</v>
      </c>
    </row>
    <row r="11" spans="1:8" x14ac:dyDescent="0.2">
      <c r="A11" s="29"/>
      <c r="B11" s="98" t="s">
        <v>30</v>
      </c>
      <c r="C11" s="98"/>
      <c r="D11" s="29">
        <v>550</v>
      </c>
      <c r="E11" s="29">
        <v>665</v>
      </c>
      <c r="F11" s="29">
        <v>797</v>
      </c>
      <c r="G11" s="29">
        <v>937</v>
      </c>
      <c r="H11" s="29">
        <v>1091</v>
      </c>
    </row>
    <row r="12" spans="1:8" x14ac:dyDescent="0.2">
      <c r="A12" s="29"/>
      <c r="B12" s="98" t="s">
        <v>29</v>
      </c>
      <c r="C12" s="98"/>
      <c r="D12" s="29">
        <v>124400</v>
      </c>
      <c r="E12" s="29">
        <v>156700</v>
      </c>
      <c r="F12" s="29">
        <v>201400</v>
      </c>
      <c r="G12" s="29">
        <v>227300</v>
      </c>
      <c r="H12" s="29">
        <v>256300</v>
      </c>
    </row>
    <row r="13" spans="1:8" x14ac:dyDescent="0.2">
      <c r="A13" s="29"/>
      <c r="C13" s="29"/>
      <c r="D13" s="29"/>
      <c r="E13" s="29"/>
      <c r="F13" s="29"/>
      <c r="G13" s="29"/>
      <c r="H13" s="29"/>
    </row>
    <row r="14" spans="1:8" x14ac:dyDescent="0.2">
      <c r="A14" s="29"/>
      <c r="B14" s="29"/>
      <c r="C14" s="29"/>
      <c r="D14" s="29"/>
      <c r="E14" s="29"/>
      <c r="F14" s="29"/>
      <c r="G14" s="29"/>
      <c r="H14" s="29"/>
    </row>
    <row r="15" spans="1:8" x14ac:dyDescent="0.2">
      <c r="A15" s="97" t="s">
        <v>49</v>
      </c>
      <c r="B15" s="97"/>
      <c r="C15" s="29"/>
      <c r="D15" s="29"/>
      <c r="E15" s="29"/>
      <c r="F15" s="29"/>
      <c r="G15" s="29"/>
      <c r="H15" s="29"/>
    </row>
    <row r="16" spans="1:8" x14ac:dyDescent="0.2">
      <c r="A16" s="29"/>
      <c r="B16" s="98" t="s">
        <v>28</v>
      </c>
      <c r="C16" s="98"/>
      <c r="D16" s="31">
        <v>477</v>
      </c>
      <c r="E16" s="31">
        <v>520</v>
      </c>
      <c r="F16" s="31">
        <v>576</v>
      </c>
      <c r="G16" s="31">
        <v>650</v>
      </c>
      <c r="H16" s="31">
        <v>744</v>
      </c>
    </row>
    <row r="17" spans="1:8" x14ac:dyDescent="0.2">
      <c r="A17" s="29"/>
      <c r="B17" s="98" t="s">
        <v>31</v>
      </c>
      <c r="C17" s="98"/>
      <c r="D17" s="95">
        <v>39.86</v>
      </c>
      <c r="E17" s="95">
        <v>47.795000000000002</v>
      </c>
      <c r="F17" s="95">
        <v>56.981000000000002</v>
      </c>
      <c r="G17" s="95">
        <v>67.774000000000001</v>
      </c>
      <c r="H17" s="95">
        <v>80.701999999999998</v>
      </c>
    </row>
    <row r="18" spans="1:8" x14ac:dyDescent="0.2">
      <c r="A18" s="29"/>
      <c r="B18" s="98" t="s">
        <v>30</v>
      </c>
      <c r="C18" s="98"/>
      <c r="D18" s="31">
        <v>231</v>
      </c>
      <c r="E18" s="31">
        <v>268.23200000000003</v>
      </c>
      <c r="F18" s="31">
        <v>299.22500000000002</v>
      </c>
      <c r="G18" s="31">
        <v>342.173</v>
      </c>
      <c r="H18" s="31">
        <v>395.14100000000002</v>
      </c>
    </row>
    <row r="19" spans="1:8" x14ac:dyDescent="0.2">
      <c r="A19" s="29"/>
      <c r="B19" s="98" t="s">
        <v>29</v>
      </c>
      <c r="C19" s="98"/>
      <c r="D19" s="31">
        <v>64070</v>
      </c>
      <c r="E19" s="31">
        <v>72715</v>
      </c>
      <c r="F19" s="31">
        <v>86160</v>
      </c>
      <c r="G19" s="31">
        <v>94601</v>
      </c>
      <c r="H19" s="31">
        <v>108317</v>
      </c>
    </row>
    <row r="20" spans="1:8" x14ac:dyDescent="0.2">
      <c r="A20" s="29"/>
      <c r="B20" s="29"/>
      <c r="C20" s="29"/>
      <c r="D20" s="29"/>
      <c r="E20" s="29"/>
      <c r="F20" s="29"/>
      <c r="G20" s="29"/>
      <c r="H20" s="29"/>
    </row>
    <row r="21" spans="1:8" x14ac:dyDescent="0.2">
      <c r="A21" s="2" t="s">
        <v>72</v>
      </c>
    </row>
  </sheetData>
  <mergeCells count="11">
    <mergeCell ref="B19:C19"/>
    <mergeCell ref="A15:B15"/>
    <mergeCell ref="B16:C16"/>
    <mergeCell ref="B17:C17"/>
    <mergeCell ref="B12:C12"/>
    <mergeCell ref="F5:G5"/>
    <mergeCell ref="A8:C8"/>
    <mergeCell ref="B9:C9"/>
    <mergeCell ref="B10:C10"/>
    <mergeCell ref="B11:C11"/>
    <mergeCell ref="B18:C18"/>
  </mergeCells>
  <phoneticPr fontId="1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6"/>
  <sheetViews>
    <sheetView workbookViewId="0"/>
  </sheetViews>
  <sheetFormatPr defaultRowHeight="12.75" x14ac:dyDescent="0.2"/>
  <cols>
    <col min="1" max="1" width="11.33203125" customWidth="1"/>
    <col min="2" max="2" width="4" customWidth="1"/>
    <col min="3" max="3" width="42.6640625" customWidth="1"/>
    <col min="4" max="4" width="13.6640625" bestFit="1" customWidth="1"/>
  </cols>
  <sheetData>
    <row r="1" spans="2:8" ht="15.75" x14ac:dyDescent="0.25">
      <c r="C1" s="34" t="s">
        <v>163</v>
      </c>
    </row>
    <row r="2" spans="2:8" ht="15.75" x14ac:dyDescent="0.25">
      <c r="C2" s="36"/>
    </row>
    <row r="3" spans="2:8" ht="15.75" x14ac:dyDescent="0.25">
      <c r="C3" s="37" t="s">
        <v>149</v>
      </c>
    </row>
    <row r="4" spans="2:8" s="2" customFormat="1" ht="12" customHeight="1" x14ac:dyDescent="0.2">
      <c r="B4" s="1"/>
      <c r="C4" s="4"/>
      <c r="F4" s="3"/>
      <c r="G4" s="3"/>
      <c r="H4" s="3"/>
    </row>
    <row r="5" spans="2:8" s="2" customFormat="1" ht="12" customHeight="1" x14ac:dyDescent="0.25">
      <c r="B5" s="1"/>
      <c r="C5" s="63" t="s">
        <v>164</v>
      </c>
      <c r="F5" s="3"/>
      <c r="G5" s="3"/>
      <c r="H5" s="3"/>
    </row>
    <row r="6" spans="2:8" s="2" customFormat="1" ht="12" customHeight="1" x14ac:dyDescent="0.25">
      <c r="B6" s="1"/>
      <c r="C6" s="3"/>
      <c r="D6" s="64"/>
      <c r="F6" s="3"/>
      <c r="G6" s="3"/>
      <c r="H6" s="3"/>
    </row>
    <row r="8" spans="2:8" x14ac:dyDescent="0.2">
      <c r="B8" t="s">
        <v>75</v>
      </c>
      <c r="D8" s="23">
        <v>4.8000000000000001E-2</v>
      </c>
    </row>
    <row r="9" spans="2:8" x14ac:dyDescent="0.2">
      <c r="B9" t="s">
        <v>76</v>
      </c>
      <c r="D9" s="23">
        <v>5.5E-2</v>
      </c>
    </row>
    <row r="11" spans="2:8" x14ac:dyDescent="0.2">
      <c r="B11" s="6" t="s">
        <v>51</v>
      </c>
    </row>
    <row r="13" spans="2:8" x14ac:dyDescent="0.2">
      <c r="C13" t="s">
        <v>158</v>
      </c>
      <c r="D13" s="22">
        <v>0.02</v>
      </c>
    </row>
    <row r="14" spans="2:8" x14ac:dyDescent="0.2">
      <c r="C14" t="s">
        <v>159</v>
      </c>
      <c r="D14" s="23">
        <v>6.8000000000000005E-2</v>
      </c>
    </row>
    <row r="15" spans="2:8" x14ac:dyDescent="0.2">
      <c r="C15" t="s">
        <v>161</v>
      </c>
      <c r="D15" s="23">
        <v>0.38600000000000001</v>
      </c>
    </row>
    <row r="16" spans="2:8" x14ac:dyDescent="0.2">
      <c r="C16" t="s">
        <v>157</v>
      </c>
      <c r="D16" s="32">
        <f>D8+1.4*D9</f>
        <v>0.125</v>
      </c>
    </row>
    <row r="17" spans="2:4" x14ac:dyDescent="0.2">
      <c r="C17" t="s">
        <v>162</v>
      </c>
      <c r="D17" s="23">
        <f>D13*D14*(1-D15)+(1-D13)*D16</f>
        <v>0.12333503999999999</v>
      </c>
    </row>
    <row r="20" spans="2:4" x14ac:dyDescent="0.2">
      <c r="B20" s="6" t="s">
        <v>49</v>
      </c>
    </row>
    <row r="22" spans="2:4" x14ac:dyDescent="0.2">
      <c r="C22" t="s">
        <v>158</v>
      </c>
      <c r="D22" s="22">
        <v>0.12</v>
      </c>
    </row>
    <row r="23" spans="2:4" x14ac:dyDescent="0.2">
      <c r="C23" t="s">
        <v>160</v>
      </c>
      <c r="D23" s="23">
        <v>7.2999999999999995E-2</v>
      </c>
    </row>
    <row r="24" spans="2:4" x14ac:dyDescent="0.2">
      <c r="C24" t="s">
        <v>161</v>
      </c>
      <c r="D24" s="23">
        <v>0.37</v>
      </c>
    </row>
    <row r="25" spans="2:4" x14ac:dyDescent="0.2">
      <c r="C25" t="s">
        <v>157</v>
      </c>
      <c r="D25" s="32">
        <f>D8+1.4*D9</f>
        <v>0.125</v>
      </c>
    </row>
    <row r="26" spans="2:4" x14ac:dyDescent="0.2">
      <c r="C26" t="s">
        <v>162</v>
      </c>
      <c r="D26" s="23">
        <f>D22*D23*(1-D24)+(1-D22)*D25</f>
        <v>0.1155188</v>
      </c>
    </row>
  </sheetData>
  <phoneticPr fontId="10" type="noConversion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workbookViewId="0"/>
  </sheetViews>
  <sheetFormatPr defaultRowHeight="12" customHeight="1" x14ac:dyDescent="0.2"/>
  <cols>
    <col min="1" max="1" width="4.1640625" style="2" customWidth="1"/>
    <col min="2" max="2" width="24" style="2" customWidth="1"/>
    <col min="3" max="3" width="8.5" style="2" customWidth="1"/>
    <col min="4" max="8" width="11.1640625" style="2" customWidth="1"/>
    <col min="9" max="9" width="11.83203125" style="2" customWidth="1"/>
    <col min="10" max="10" width="11" style="2" bestFit="1" customWidth="1"/>
    <col min="11" max="11" width="14" style="2" customWidth="1"/>
    <col min="12" max="17" width="11" style="2" bestFit="1" customWidth="1"/>
    <col min="18" max="18" width="13.1640625" style="2" customWidth="1"/>
    <col min="19" max="19" width="14.1640625" style="2" customWidth="1"/>
    <col min="20" max="20" width="12.83203125" style="2" customWidth="1"/>
    <col min="21" max="21" width="12.6640625" style="2" customWidth="1"/>
    <col min="22" max="22" width="13.5" style="2" customWidth="1"/>
    <col min="23" max="23" width="12.83203125" style="2" customWidth="1"/>
    <col min="24" max="24" width="11" style="2" bestFit="1" customWidth="1"/>
    <col min="25" max="25" width="12.83203125" style="2" customWidth="1"/>
    <col min="26" max="26" width="11" style="2" bestFit="1" customWidth="1"/>
    <col min="27" max="27" width="12" style="2" customWidth="1"/>
    <col min="28" max="16384" width="9.33203125" style="2"/>
  </cols>
  <sheetData>
    <row r="1" spans="1:9" customFormat="1" ht="15.75" x14ac:dyDescent="0.25">
      <c r="D1" s="34" t="s">
        <v>96</v>
      </c>
    </row>
    <row r="2" spans="1:9" customFormat="1" ht="15.75" x14ac:dyDescent="0.25">
      <c r="D2" s="36"/>
    </row>
    <row r="3" spans="1:9" customFormat="1" ht="15.75" x14ac:dyDescent="0.25">
      <c r="D3" s="37" t="s">
        <v>149</v>
      </c>
    </row>
    <row r="4" spans="1:9" ht="12" customHeight="1" x14ac:dyDescent="0.2">
      <c r="A4" s="1"/>
      <c r="B4" s="3"/>
      <c r="C4" s="3"/>
      <c r="D4" s="4"/>
      <c r="F4" s="3"/>
      <c r="G4" s="3"/>
      <c r="H4" s="3"/>
    </row>
    <row r="5" spans="1:9" ht="12" customHeight="1" x14ac:dyDescent="0.25">
      <c r="A5" s="1"/>
      <c r="B5" s="3"/>
      <c r="C5" s="3"/>
      <c r="D5" s="63" t="s">
        <v>151</v>
      </c>
      <c r="F5" s="3"/>
      <c r="G5" s="3"/>
      <c r="H5" s="3"/>
    </row>
    <row r="6" spans="1:9" ht="12" customHeight="1" x14ac:dyDescent="0.25">
      <c r="A6" s="1"/>
      <c r="B6" s="3"/>
      <c r="C6" s="3"/>
      <c r="D6" s="64" t="s">
        <v>47</v>
      </c>
      <c r="F6" s="3"/>
      <c r="G6" s="3"/>
      <c r="H6" s="3"/>
    </row>
    <row r="8" spans="1:9" ht="12" customHeight="1" x14ac:dyDescent="0.2">
      <c r="D8" s="99" t="s">
        <v>71</v>
      </c>
      <c r="E8" s="99"/>
      <c r="F8" s="99"/>
      <c r="G8" s="99"/>
      <c r="H8" s="99"/>
    </row>
    <row r="9" spans="1:9" ht="12" customHeight="1" x14ac:dyDescent="0.2">
      <c r="C9" s="8"/>
      <c r="D9" s="33">
        <v>1997</v>
      </c>
      <c r="E9" s="33">
        <v>1998</v>
      </c>
      <c r="F9" s="33">
        <v>1999</v>
      </c>
      <c r="G9" s="33">
        <v>2000</v>
      </c>
      <c r="H9" s="33">
        <v>2001</v>
      </c>
    </row>
    <row r="10" spans="1:9" ht="12" customHeight="1" x14ac:dyDescent="0.2">
      <c r="A10" s="5" t="s">
        <v>0</v>
      </c>
      <c r="C10" s="8"/>
      <c r="D10" s="8"/>
      <c r="E10" s="8"/>
      <c r="F10" s="8"/>
      <c r="G10" s="8"/>
      <c r="H10" s="8"/>
    </row>
    <row r="11" spans="1:9" s="9" customFormat="1" ht="12" customHeight="1" x14ac:dyDescent="0.2">
      <c r="B11" s="9" t="s">
        <v>50</v>
      </c>
      <c r="D11" s="55">
        <v>24156</v>
      </c>
      <c r="E11" s="55">
        <v>30219</v>
      </c>
      <c r="F11" s="55">
        <v>38434</v>
      </c>
      <c r="G11" s="55">
        <v>45738</v>
      </c>
      <c r="H11" s="55">
        <v>53553</v>
      </c>
    </row>
    <row r="12" spans="1:9" s="9" customFormat="1" ht="12" customHeight="1" x14ac:dyDescent="0.2">
      <c r="B12" s="9" t="s">
        <v>2</v>
      </c>
      <c r="D12" s="56">
        <v>17092</v>
      </c>
      <c r="E12" s="56">
        <v>21241</v>
      </c>
      <c r="F12" s="56">
        <v>26560</v>
      </c>
      <c r="G12" s="56">
        <v>31456</v>
      </c>
      <c r="H12" s="56">
        <v>36642</v>
      </c>
    </row>
    <row r="13" spans="1:9" s="9" customFormat="1" ht="12" customHeight="1" x14ac:dyDescent="0.2">
      <c r="B13" s="9" t="s">
        <v>3</v>
      </c>
      <c r="D13" s="55">
        <f>D11-D12</f>
        <v>7064</v>
      </c>
      <c r="E13" s="55">
        <f>E11-E12</f>
        <v>8978</v>
      </c>
      <c r="F13" s="55">
        <f>F11-F12</f>
        <v>11874</v>
      </c>
      <c r="G13" s="55">
        <f>G11-G12</f>
        <v>14282</v>
      </c>
      <c r="H13" s="55">
        <f>H11-H12</f>
        <v>16911</v>
      </c>
      <c r="I13" s="13"/>
    </row>
    <row r="14" spans="1:9" s="9" customFormat="1" ht="12" customHeight="1" x14ac:dyDescent="0.2">
      <c r="B14" s="9" t="s">
        <v>48</v>
      </c>
      <c r="D14" s="55">
        <f>4885</f>
        <v>4885</v>
      </c>
      <c r="E14" s="55">
        <f>5935</f>
        <v>5935</v>
      </c>
      <c r="F14" s="55">
        <f>7603</f>
        <v>7603</v>
      </c>
      <c r="G14" s="55">
        <f>9490</f>
        <v>9490</v>
      </c>
      <c r="H14" s="55">
        <f>11215</f>
        <v>11215</v>
      </c>
      <c r="I14" s="13"/>
    </row>
    <row r="15" spans="1:9" s="9" customFormat="1" ht="12" customHeight="1" x14ac:dyDescent="0.2">
      <c r="B15" s="9" t="s">
        <v>97</v>
      </c>
      <c r="D15" s="56">
        <v>283</v>
      </c>
      <c r="E15" s="56">
        <v>373</v>
      </c>
      <c r="F15" s="56">
        <v>463</v>
      </c>
      <c r="G15" s="56">
        <v>601</v>
      </c>
      <c r="H15" s="56">
        <v>764</v>
      </c>
    </row>
    <row r="16" spans="1:9" s="9" customFormat="1" ht="12" customHeight="1" x14ac:dyDescent="0.2">
      <c r="B16" s="9" t="s">
        <v>5</v>
      </c>
      <c r="D16" s="55">
        <f>D13-D14-D15</f>
        <v>1896</v>
      </c>
      <c r="E16" s="55">
        <f>E13-E14-E15</f>
        <v>2670</v>
      </c>
      <c r="F16" s="55">
        <f>F13-F14-F15</f>
        <v>3808</v>
      </c>
      <c r="G16" s="55">
        <f>G13-G14-G15</f>
        <v>4191</v>
      </c>
      <c r="H16" s="55">
        <f>H13-H14-H15</f>
        <v>4932</v>
      </c>
      <c r="I16" s="13"/>
    </row>
    <row r="17" spans="1:8" s="9" customFormat="1" ht="11.25" customHeight="1" x14ac:dyDescent="0.2">
      <c r="B17" s="9" t="s">
        <v>99</v>
      </c>
      <c r="D17" s="55">
        <v>0</v>
      </c>
      <c r="E17" s="55">
        <v>0</v>
      </c>
      <c r="F17" s="55">
        <v>0</v>
      </c>
      <c r="G17" s="55">
        <v>0</v>
      </c>
      <c r="H17" s="55">
        <v>0</v>
      </c>
    </row>
    <row r="18" spans="1:8" s="9" customFormat="1" ht="12" customHeight="1" x14ac:dyDescent="0.2">
      <c r="B18" s="9" t="s">
        <v>4</v>
      </c>
      <c r="D18" s="56">
        <v>-2</v>
      </c>
      <c r="E18" s="56">
        <v>16</v>
      </c>
      <c r="F18" s="56">
        <v>4</v>
      </c>
      <c r="G18" s="56">
        <v>-26</v>
      </c>
      <c r="H18" s="56">
        <v>-25</v>
      </c>
    </row>
    <row r="19" spans="1:8" s="9" customFormat="1" ht="11.25" customHeight="1" x14ac:dyDescent="0.2">
      <c r="B19" s="9" t="s">
        <v>6</v>
      </c>
      <c r="D19" s="55">
        <f>D16-D18-D17</f>
        <v>1898</v>
      </c>
      <c r="E19" s="55">
        <f>E16-E18-E17</f>
        <v>2654</v>
      </c>
      <c r="F19" s="55">
        <f>F16-F18-F17</f>
        <v>3804</v>
      </c>
      <c r="G19" s="55">
        <f>G16-G18-G17</f>
        <v>4217</v>
      </c>
      <c r="H19" s="55">
        <f>H16-H18-H17</f>
        <v>4957</v>
      </c>
    </row>
    <row r="20" spans="1:8" s="9" customFormat="1" ht="12" customHeight="1" x14ac:dyDescent="0.2">
      <c r="B20" s="9" t="s">
        <v>7</v>
      </c>
      <c r="D20" s="56">
        <v>738</v>
      </c>
      <c r="E20" s="57">
        <v>1040</v>
      </c>
      <c r="F20" s="57">
        <v>1484</v>
      </c>
      <c r="G20" s="57">
        <v>1636</v>
      </c>
      <c r="H20" s="56">
        <v>1913</v>
      </c>
    </row>
    <row r="21" spans="1:8" s="9" customFormat="1" ht="12" customHeight="1" x14ac:dyDescent="0.2">
      <c r="B21" s="9" t="s">
        <v>8</v>
      </c>
      <c r="D21" s="55">
        <f>D19-D20</f>
        <v>1160</v>
      </c>
      <c r="E21" s="55">
        <f>E19-E20</f>
        <v>1614</v>
      </c>
      <c r="F21" s="55">
        <f>F19-F20</f>
        <v>2320</v>
      </c>
      <c r="G21" s="55">
        <f>G19-G20</f>
        <v>2581</v>
      </c>
      <c r="H21" s="55">
        <f>H19-H20</f>
        <v>3044</v>
      </c>
    </row>
    <row r="22" spans="1:8" s="9" customFormat="1" ht="12" customHeight="1" x14ac:dyDescent="0.2">
      <c r="D22" s="55"/>
      <c r="E22" s="55"/>
      <c r="F22" s="55"/>
      <c r="G22" s="55"/>
      <c r="H22" s="55"/>
    </row>
    <row r="23" spans="1:8" ht="12" customHeight="1" x14ac:dyDescent="0.2">
      <c r="A23" s="5" t="s">
        <v>9</v>
      </c>
      <c r="C23" s="8"/>
      <c r="D23" s="55"/>
      <c r="E23" s="55"/>
      <c r="F23" s="55"/>
      <c r="G23" s="55"/>
      <c r="H23" s="55"/>
    </row>
    <row r="24" spans="1:8" s="9" customFormat="1" ht="12" customHeight="1" x14ac:dyDescent="0.2">
      <c r="B24" s="9" t="s">
        <v>10</v>
      </c>
      <c r="D24" s="55">
        <f>2+172</f>
        <v>174</v>
      </c>
      <c r="E24" s="55">
        <f>62</f>
        <v>62</v>
      </c>
      <c r="F24" s="55">
        <f>2+168</f>
        <v>170</v>
      </c>
      <c r="G24" s="55">
        <f>10+167</f>
        <v>177</v>
      </c>
      <c r="H24" s="55">
        <f>2477+69</f>
        <v>2546</v>
      </c>
    </row>
    <row r="25" spans="1:8" s="9" customFormat="1" ht="12" customHeight="1" x14ac:dyDescent="0.2">
      <c r="B25" s="9" t="s">
        <v>11</v>
      </c>
      <c r="D25" s="55">
        <v>556</v>
      </c>
      <c r="E25" s="55">
        <v>469</v>
      </c>
      <c r="F25" s="55">
        <v>587</v>
      </c>
      <c r="G25" s="55">
        <v>835</v>
      </c>
      <c r="H25" s="55">
        <v>920</v>
      </c>
    </row>
    <row r="26" spans="1:8" s="9" customFormat="1" ht="12" customHeight="1" x14ac:dyDescent="0.2">
      <c r="B26" s="9" t="s">
        <v>12</v>
      </c>
      <c r="D26" s="55">
        <v>3602</v>
      </c>
      <c r="E26" s="55">
        <v>4293</v>
      </c>
      <c r="F26" s="55">
        <v>5489</v>
      </c>
      <c r="G26" s="55">
        <v>6556</v>
      </c>
      <c r="H26" s="55">
        <v>6725</v>
      </c>
    </row>
    <row r="27" spans="1:8" s="9" customFormat="1" ht="12" customHeight="1" x14ac:dyDescent="0.2">
      <c r="B27" s="9" t="s">
        <v>13</v>
      </c>
      <c r="D27" s="56">
        <f>128</f>
        <v>128</v>
      </c>
      <c r="E27" s="56">
        <v>109</v>
      </c>
      <c r="F27" s="56">
        <v>144</v>
      </c>
      <c r="G27" s="56">
        <v>209</v>
      </c>
      <c r="H27" s="56">
        <v>170</v>
      </c>
    </row>
    <row r="28" spans="1:8" s="9" customFormat="1" ht="12" customHeight="1" x14ac:dyDescent="0.2">
      <c r="B28" s="9" t="s">
        <v>14</v>
      </c>
      <c r="D28" s="55">
        <f>SUM(D24:D27)</f>
        <v>4460</v>
      </c>
      <c r="E28" s="55">
        <f>SUM(E24:E27)</f>
        <v>4933</v>
      </c>
      <c r="F28" s="55">
        <f>SUM(F24:F27)</f>
        <v>6390</v>
      </c>
      <c r="G28" s="55">
        <f>SUM(G24:G27)</f>
        <v>7777</v>
      </c>
      <c r="H28" s="55">
        <f>SUM(H24:H27)</f>
        <v>10361</v>
      </c>
    </row>
    <row r="29" spans="1:8" s="9" customFormat="1" ht="12" customHeight="1" x14ac:dyDescent="0.2">
      <c r="B29" s="9" t="s">
        <v>15</v>
      </c>
      <c r="D29" s="55">
        <v>6509</v>
      </c>
      <c r="E29" s="55">
        <v>8160</v>
      </c>
      <c r="F29" s="55">
        <v>10227</v>
      </c>
      <c r="G29" s="55">
        <v>13068</v>
      </c>
      <c r="H29" s="55">
        <v>15375</v>
      </c>
    </row>
    <row r="30" spans="1:8" s="9" customFormat="1" ht="12" customHeight="1" x14ac:dyDescent="0.2">
      <c r="B30" s="9" t="s">
        <v>16</v>
      </c>
      <c r="D30" s="56">
        <f>15+27+140+78</f>
        <v>260</v>
      </c>
      <c r="E30" s="56">
        <f>15+26+268+63</f>
        <v>372</v>
      </c>
      <c r="F30" s="56">
        <f>15+48+311+90</f>
        <v>464</v>
      </c>
      <c r="G30" s="56">
        <f>15+77+314+134</f>
        <v>540</v>
      </c>
      <c r="H30" s="56">
        <f>83+419+156</f>
        <v>658</v>
      </c>
    </row>
    <row r="31" spans="1:8" s="9" customFormat="1" ht="12" customHeight="1" x14ac:dyDescent="0.2">
      <c r="B31" s="9" t="s">
        <v>17</v>
      </c>
      <c r="D31" s="55">
        <f>SUM(D28:D30)</f>
        <v>11229</v>
      </c>
      <c r="E31" s="55">
        <f>SUM(E28:E30)</f>
        <v>13465</v>
      </c>
      <c r="F31" s="55">
        <f>SUM(F28:F30)</f>
        <v>17081</v>
      </c>
      <c r="G31" s="55">
        <f>SUM(G28:G30)</f>
        <v>21385</v>
      </c>
      <c r="H31" s="55">
        <f>SUM(H28:H30)</f>
        <v>26394</v>
      </c>
    </row>
    <row r="32" spans="1:8" s="9" customFormat="1" ht="12" customHeight="1" x14ac:dyDescent="0.2">
      <c r="D32" s="55"/>
      <c r="E32" s="55"/>
      <c r="F32" s="55"/>
      <c r="G32" s="55"/>
      <c r="H32" s="56"/>
    </row>
    <row r="33" spans="1:8" s="9" customFormat="1" ht="12" customHeight="1" x14ac:dyDescent="0.2">
      <c r="B33" s="9" t="s">
        <v>18</v>
      </c>
      <c r="D33" s="55">
        <v>1358</v>
      </c>
      <c r="E33" s="55">
        <v>1586</v>
      </c>
      <c r="F33" s="55">
        <v>1993</v>
      </c>
      <c r="G33" s="55">
        <v>1976</v>
      </c>
      <c r="H33" s="55">
        <v>3436</v>
      </c>
    </row>
    <row r="34" spans="1:8" ht="12" customHeight="1" x14ac:dyDescent="0.2">
      <c r="B34" s="9" t="s">
        <v>19</v>
      </c>
      <c r="D34" s="55">
        <v>312</v>
      </c>
      <c r="E34" s="55">
        <v>395</v>
      </c>
      <c r="F34" s="55">
        <v>541</v>
      </c>
      <c r="G34" s="55">
        <v>627</v>
      </c>
      <c r="H34" s="55">
        <v>717</v>
      </c>
    </row>
    <row r="35" spans="1:8" ht="12" customHeight="1" x14ac:dyDescent="0.2">
      <c r="B35" s="9" t="s">
        <v>20</v>
      </c>
      <c r="D35" s="55">
        <v>0</v>
      </c>
      <c r="E35" s="55">
        <v>0</v>
      </c>
      <c r="F35" s="55">
        <v>0</v>
      </c>
      <c r="G35" s="55">
        <v>0</v>
      </c>
      <c r="H35" s="55">
        <v>0</v>
      </c>
    </row>
    <row r="36" spans="1:8" ht="12" customHeight="1" x14ac:dyDescent="0.2">
      <c r="B36" s="9" t="s">
        <v>21</v>
      </c>
      <c r="D36" s="55">
        <v>8</v>
      </c>
      <c r="E36" s="55">
        <v>14</v>
      </c>
      <c r="F36" s="55">
        <v>29</v>
      </c>
      <c r="G36" s="55">
        <v>4</v>
      </c>
      <c r="H36" s="55">
        <v>5</v>
      </c>
    </row>
    <row r="37" spans="1:8" ht="12" customHeight="1" x14ac:dyDescent="0.2">
      <c r="B37" s="9" t="s">
        <v>22</v>
      </c>
      <c r="D37" s="56">
        <f>143+530+105</f>
        <v>778</v>
      </c>
      <c r="E37" s="56">
        <f>176+586+100</f>
        <v>862</v>
      </c>
      <c r="F37" s="56">
        <f>269+763+61</f>
        <v>1093</v>
      </c>
      <c r="G37" s="56">
        <f>298+1402+78</f>
        <v>1778</v>
      </c>
      <c r="H37" s="56">
        <f>6501-SUM(H33:H36)</f>
        <v>2343</v>
      </c>
    </row>
    <row r="38" spans="1:8" s="12" customFormat="1" ht="12" customHeight="1" x14ac:dyDescent="0.2">
      <c r="B38" s="12" t="s">
        <v>23</v>
      </c>
      <c r="D38" s="20">
        <f>SUM(D33:D37)</f>
        <v>2456</v>
      </c>
      <c r="E38" s="20">
        <f>SUM(E33:E37)</f>
        <v>2857</v>
      </c>
      <c r="F38" s="20">
        <f>SUM(F33:F37)</f>
        <v>3656</v>
      </c>
      <c r="G38" s="20">
        <f>SUM(G33:G37)</f>
        <v>4385</v>
      </c>
      <c r="H38" s="20">
        <f>SUM(H33:H37)</f>
        <v>6501</v>
      </c>
    </row>
    <row r="39" spans="1:8" s="12" customFormat="1" ht="12" customHeight="1" x14ac:dyDescent="0.2">
      <c r="B39" s="12" t="s">
        <v>77</v>
      </c>
      <c r="D39" s="20">
        <v>1303</v>
      </c>
      <c r="E39" s="20">
        <v>1566</v>
      </c>
      <c r="F39" s="20">
        <v>750</v>
      </c>
      <c r="G39" s="20">
        <v>1545</v>
      </c>
      <c r="H39" s="20">
        <v>1250</v>
      </c>
    </row>
    <row r="40" spans="1:8" s="12" customFormat="1" ht="12" customHeight="1" x14ac:dyDescent="0.2">
      <c r="B40" s="12" t="s">
        <v>24</v>
      </c>
      <c r="D40" s="20">
        <v>78</v>
      </c>
      <c r="E40" s="20">
        <v>85</v>
      </c>
      <c r="F40" s="20">
        <v>87</v>
      </c>
      <c r="G40" s="20">
        <v>195</v>
      </c>
      <c r="H40" s="20">
        <v>189</v>
      </c>
    </row>
    <row r="41" spans="1:8" s="12" customFormat="1" ht="12" customHeight="1" x14ac:dyDescent="0.2">
      <c r="B41" s="12" t="s">
        <v>25</v>
      </c>
      <c r="D41" s="20">
        <v>178</v>
      </c>
      <c r="E41" s="20">
        <v>208</v>
      </c>
      <c r="F41" s="20">
        <v>237</v>
      </c>
      <c r="G41" s="20">
        <v>245</v>
      </c>
      <c r="H41" s="20">
        <v>372</v>
      </c>
    </row>
    <row r="42" spans="1:8" s="12" customFormat="1" ht="12" customHeight="1" x14ac:dyDescent="0.2">
      <c r="B42" s="12" t="s">
        <v>26</v>
      </c>
      <c r="D42" s="20">
        <v>116</v>
      </c>
      <c r="E42" s="20">
        <v>9</v>
      </c>
      <c r="F42" s="20">
        <v>10</v>
      </c>
      <c r="G42" s="20">
        <v>11</v>
      </c>
      <c r="H42" s="20">
        <v>0</v>
      </c>
    </row>
    <row r="43" spans="1:8" s="12" customFormat="1" ht="12" customHeight="1" x14ac:dyDescent="0.2">
      <c r="B43" s="12" t="s">
        <v>27</v>
      </c>
      <c r="D43" s="58">
        <v>7098</v>
      </c>
      <c r="E43" s="58">
        <v>8740</v>
      </c>
      <c r="F43" s="58">
        <v>12341</v>
      </c>
      <c r="G43" s="58">
        <v>15004</v>
      </c>
      <c r="H43" s="58">
        <v>18082</v>
      </c>
    </row>
    <row r="44" spans="1:8" ht="12" customHeight="1" x14ac:dyDescent="0.2">
      <c r="B44" s="12" t="s">
        <v>78</v>
      </c>
      <c r="D44" s="20">
        <f>SUM(D38:D43)</f>
        <v>11229</v>
      </c>
      <c r="E44" s="20">
        <f>SUM(E38:E43)</f>
        <v>13465</v>
      </c>
      <c r="F44" s="20">
        <f>SUM(F38:F43)</f>
        <v>17081</v>
      </c>
      <c r="G44" s="20">
        <f>SUM(G38:G43)</f>
        <v>21385</v>
      </c>
      <c r="H44" s="20">
        <f>SUM(H38:H43)</f>
        <v>26394</v>
      </c>
    </row>
    <row r="45" spans="1:8" customFormat="1" ht="12" customHeight="1" x14ac:dyDescent="0.2">
      <c r="B45" s="12"/>
    </row>
    <row r="46" spans="1:8" customFormat="1" ht="12" customHeight="1" x14ac:dyDescent="0.2">
      <c r="A46" t="s">
        <v>69</v>
      </c>
    </row>
  </sheetData>
  <mergeCells count="1">
    <mergeCell ref="D8:H8"/>
  </mergeCells>
  <phoneticPr fontId="10" type="noConversion"/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2"/>
  <sheetViews>
    <sheetView workbookViewId="0"/>
  </sheetViews>
  <sheetFormatPr defaultRowHeight="12.75" x14ac:dyDescent="0.2"/>
  <cols>
    <col min="1" max="1" width="4.1640625" style="9" customWidth="1"/>
    <col min="2" max="2" width="22.6640625" style="9" customWidth="1"/>
    <col min="3" max="3" width="8.6640625" style="9" customWidth="1"/>
    <col min="4" max="8" width="11.6640625" style="9" customWidth="1"/>
    <col min="9" max="9" width="11.83203125" style="9" customWidth="1"/>
    <col min="10" max="10" width="11" style="9" bestFit="1" customWidth="1"/>
    <col min="11" max="11" width="14" style="9" customWidth="1"/>
    <col min="12" max="17" width="11" style="9" bestFit="1" customWidth="1"/>
    <col min="18" max="18" width="13.1640625" style="9" customWidth="1"/>
    <col min="19" max="19" width="14.1640625" style="9" customWidth="1"/>
    <col min="20" max="20" width="12.83203125" style="9" customWidth="1"/>
    <col min="21" max="21" width="12.6640625" style="9" customWidth="1"/>
    <col min="22" max="22" width="13.5" style="9" customWidth="1"/>
    <col min="23" max="23" width="12.83203125" style="9" customWidth="1"/>
    <col min="24" max="24" width="11" style="9" bestFit="1" customWidth="1"/>
    <col min="25" max="25" width="12.83203125" style="9" customWidth="1"/>
    <col min="26" max="26" width="11" style="9" bestFit="1" customWidth="1"/>
    <col min="27" max="27" width="12" style="9" customWidth="1"/>
    <col min="28" max="16384" width="9.33203125" style="9"/>
  </cols>
  <sheetData>
    <row r="1" spans="1:9" customFormat="1" ht="15.75" x14ac:dyDescent="0.25">
      <c r="D1" s="34" t="s">
        <v>98</v>
      </c>
    </row>
    <row r="2" spans="1:9" customFormat="1" ht="15.75" x14ac:dyDescent="0.25">
      <c r="D2" s="36"/>
    </row>
    <row r="3" spans="1:9" customFormat="1" ht="15.75" x14ac:dyDescent="0.25">
      <c r="D3" s="37" t="s">
        <v>149</v>
      </c>
    </row>
    <row r="4" spans="1:9" ht="11.25" customHeight="1" x14ac:dyDescent="0.2">
      <c r="A4" s="15"/>
      <c r="B4" s="16"/>
      <c r="C4" s="16"/>
      <c r="D4" s="16"/>
      <c r="F4" s="16"/>
      <c r="G4" s="16"/>
      <c r="H4" s="16"/>
    </row>
    <row r="5" spans="1:9" ht="14.25" customHeight="1" x14ac:dyDescent="0.25">
      <c r="A5" s="15"/>
      <c r="B5" s="16"/>
      <c r="C5" s="16"/>
      <c r="D5" s="65" t="s">
        <v>150</v>
      </c>
      <c r="F5" s="16"/>
      <c r="G5" s="16"/>
      <c r="H5" s="16"/>
    </row>
    <row r="6" spans="1:9" ht="14.25" customHeight="1" x14ac:dyDescent="0.25">
      <c r="A6" s="15"/>
      <c r="B6" s="16"/>
      <c r="C6" s="16"/>
      <c r="D6" s="66" t="s">
        <v>47</v>
      </c>
      <c r="F6" s="16"/>
      <c r="G6" s="16"/>
      <c r="H6" s="16"/>
    </row>
    <row r="7" spans="1:9" ht="11.25" customHeight="1" x14ac:dyDescent="0.2"/>
    <row r="8" spans="1:9" ht="11.25" customHeight="1" x14ac:dyDescent="0.2">
      <c r="B8" s="2"/>
      <c r="C8" s="2"/>
      <c r="D8" s="99" t="s">
        <v>71</v>
      </c>
      <c r="E8" s="99"/>
      <c r="F8" s="99"/>
      <c r="G8" s="99"/>
      <c r="H8" s="99"/>
    </row>
    <row r="9" spans="1:9" s="21" customFormat="1" ht="11.25" customHeight="1" x14ac:dyDescent="0.2">
      <c r="B9" s="2"/>
      <c r="C9" s="8"/>
      <c r="D9" s="33">
        <v>1997</v>
      </c>
      <c r="E9" s="33">
        <v>1998</v>
      </c>
      <c r="F9" s="33">
        <v>1999</v>
      </c>
      <c r="G9" s="33">
        <v>2000</v>
      </c>
      <c r="H9" s="33">
        <v>2001</v>
      </c>
    </row>
    <row r="10" spans="1:9" ht="11.25" customHeight="1" x14ac:dyDescent="0.2">
      <c r="A10" s="18" t="s">
        <v>0</v>
      </c>
      <c r="C10" s="17"/>
      <c r="D10" s="17"/>
      <c r="E10" s="17"/>
      <c r="F10" s="17"/>
      <c r="G10" s="17"/>
      <c r="H10" s="17"/>
    </row>
    <row r="11" spans="1:9" ht="11.25" customHeight="1" x14ac:dyDescent="0.2">
      <c r="B11" s="9" t="s">
        <v>50</v>
      </c>
      <c r="D11" s="20">
        <v>10136.89</v>
      </c>
      <c r="E11" s="20">
        <v>12244.882</v>
      </c>
      <c r="F11" s="20">
        <v>15905.594999999999</v>
      </c>
      <c r="G11" s="20">
        <v>18778.559000000001</v>
      </c>
      <c r="H11" s="20">
        <v>22111.108</v>
      </c>
    </row>
    <row r="12" spans="1:9" ht="11.25" customHeight="1" x14ac:dyDescent="0.2">
      <c r="B12" s="9" t="s">
        <v>2</v>
      </c>
      <c r="D12" s="58">
        <v>7447.1170000000002</v>
      </c>
      <c r="E12" s="58">
        <v>8950.1560000000009</v>
      </c>
      <c r="F12" s="58">
        <v>11525.013000000001</v>
      </c>
      <c r="G12" s="58">
        <v>13487.790999999999</v>
      </c>
      <c r="H12" s="58">
        <v>15743.267</v>
      </c>
    </row>
    <row r="13" spans="1:9" ht="11.25" customHeight="1" x14ac:dyDescent="0.2">
      <c r="B13" s="9" t="s">
        <v>3</v>
      </c>
      <c r="D13" s="20">
        <f>D11-D12</f>
        <v>2689.7729999999992</v>
      </c>
      <c r="E13" s="20">
        <f>E11-E12</f>
        <v>3294.7259999999987</v>
      </c>
      <c r="F13" s="20">
        <f>F11-F12</f>
        <v>4380.5819999999985</v>
      </c>
      <c r="G13" s="20">
        <f>G11-G12</f>
        <v>5290.7680000000018</v>
      </c>
      <c r="H13" s="20">
        <f>H11-H12</f>
        <v>6367.8410000000003</v>
      </c>
      <c r="I13" s="13"/>
    </row>
    <row r="14" spans="1:9" ht="11.25" customHeight="1" x14ac:dyDescent="0.2">
      <c r="B14" s="9" t="s">
        <v>48</v>
      </c>
      <c r="D14" s="20">
        <f>2131.226-65.567-D15</f>
        <v>1824.587</v>
      </c>
      <c r="E14" s="20">
        <f>2536.304-74.735-E15</f>
        <v>2189.355</v>
      </c>
      <c r="F14" s="20">
        <f>2772.428+98.448+337.359-F15</f>
        <v>2870.4129999999996</v>
      </c>
      <c r="G14" s="20">
        <f>3348.06+131.825+408.618-G15</f>
        <v>3478.9919999999997</v>
      </c>
      <c r="H14" s="20">
        <f>3913.355+139.87+516.828-H15</f>
        <v>4035.951</v>
      </c>
    </row>
    <row r="15" spans="1:9" ht="11.25" customHeight="1" x14ac:dyDescent="0.2">
      <c r="B15" s="9" t="s">
        <v>97</v>
      </c>
      <c r="D15" s="58">
        <f>240.88+0.192</f>
        <v>241.072</v>
      </c>
      <c r="E15" s="58">
        <f>271.769+0.445</f>
        <v>272.214</v>
      </c>
      <c r="F15" s="58">
        <f>337.822</f>
        <v>337.822</v>
      </c>
      <c r="G15" s="58">
        <v>409.51100000000002</v>
      </c>
      <c r="H15" s="58">
        <v>534.10199999999998</v>
      </c>
    </row>
    <row r="16" spans="1:9" ht="11.25" customHeight="1" x14ac:dyDescent="0.2">
      <c r="B16" s="9" t="s">
        <v>5</v>
      </c>
      <c r="D16" s="20">
        <f>D13-D14-D15</f>
        <v>624.11399999999924</v>
      </c>
      <c r="E16" s="20">
        <f>E13-E14-E15</f>
        <v>833.15699999999879</v>
      </c>
      <c r="F16" s="20">
        <f>F13-F14-F15</f>
        <v>1172.3469999999988</v>
      </c>
      <c r="G16" s="20">
        <f>G13-G14-G15</f>
        <v>1402.2650000000021</v>
      </c>
      <c r="H16" s="20">
        <f>H13-H14-H15</f>
        <v>1797.7880000000005</v>
      </c>
    </row>
    <row r="17" spans="1:9" ht="11.25" customHeight="1" x14ac:dyDescent="0.2">
      <c r="B17" s="9" t="s">
        <v>99</v>
      </c>
      <c r="D17" s="20">
        <v>0</v>
      </c>
      <c r="E17" s="20">
        <v>0</v>
      </c>
      <c r="F17" s="20">
        <v>24.4</v>
      </c>
      <c r="G17" s="20">
        <v>0</v>
      </c>
      <c r="H17" s="20">
        <v>0</v>
      </c>
    </row>
    <row r="18" spans="1:9" ht="11.25" customHeight="1" x14ac:dyDescent="0.2">
      <c r="B18" s="9" t="s">
        <v>4</v>
      </c>
      <c r="D18" s="58">
        <v>65.566999999999993</v>
      </c>
      <c r="E18" s="58">
        <v>74.734999999999999</v>
      </c>
      <c r="F18" s="58">
        <v>84.852000000000004</v>
      </c>
      <c r="G18" s="58">
        <v>120.825</v>
      </c>
      <c r="H18" s="58">
        <v>172.53700000000001</v>
      </c>
    </row>
    <row r="19" spans="1:9" ht="11.25" customHeight="1" x14ac:dyDescent="0.2">
      <c r="B19" s="9" t="s">
        <v>6</v>
      </c>
      <c r="D19" s="20">
        <f>D16-D18-D17</f>
        <v>558.54699999999923</v>
      </c>
      <c r="E19" s="20">
        <f>E16-E18-E17</f>
        <v>758.42199999999877</v>
      </c>
      <c r="F19" s="20">
        <f>F16-F18-F17</f>
        <v>1063.0949999999987</v>
      </c>
      <c r="G19" s="20">
        <f>G16-G18-G17</f>
        <v>1281.4400000000021</v>
      </c>
      <c r="H19" s="20">
        <f>H16-H18-H17</f>
        <v>1625.2510000000004</v>
      </c>
    </row>
    <row r="20" spans="1:9" ht="11.25" customHeight="1" x14ac:dyDescent="0.2">
      <c r="B20" s="9" t="s">
        <v>7</v>
      </c>
      <c r="D20" s="58">
        <v>201.06299999999999</v>
      </c>
      <c r="E20" s="58">
        <v>276</v>
      </c>
      <c r="F20" s="58">
        <v>390.322</v>
      </c>
      <c r="G20" s="58">
        <v>471.56900000000002</v>
      </c>
      <c r="H20" s="58">
        <v>600.98900000000003</v>
      </c>
      <c r="I20" s="13"/>
    </row>
    <row r="21" spans="1:9" ht="11.25" customHeight="1" x14ac:dyDescent="0.2">
      <c r="B21" s="9" t="s">
        <v>8</v>
      </c>
      <c r="D21" s="20">
        <f>D19-D20</f>
        <v>357.48399999999924</v>
      </c>
      <c r="E21" s="20">
        <f>E19-E20</f>
        <v>482.42199999999877</v>
      </c>
      <c r="F21" s="20">
        <f>F19-F20</f>
        <v>672.77299999999866</v>
      </c>
      <c r="G21" s="20">
        <f>G19-G20</f>
        <v>809.87100000000214</v>
      </c>
      <c r="H21" s="20">
        <f>H19-H20</f>
        <v>1024.2620000000004</v>
      </c>
    </row>
    <row r="22" spans="1:9" ht="11.25" customHeight="1" x14ac:dyDescent="0.2">
      <c r="D22" s="20"/>
      <c r="E22" s="20"/>
      <c r="F22" s="20"/>
      <c r="G22" s="20"/>
      <c r="H22" s="20"/>
    </row>
    <row r="23" spans="1:9" ht="11.25" customHeight="1" x14ac:dyDescent="0.2">
      <c r="A23" s="18" t="s">
        <v>9</v>
      </c>
      <c r="C23" s="17"/>
      <c r="D23" s="20"/>
      <c r="E23" s="20"/>
      <c r="F23" s="20"/>
      <c r="G23" s="20"/>
      <c r="H23" s="20"/>
    </row>
    <row r="24" spans="1:9" ht="11.25" customHeight="1" x14ac:dyDescent="0.2">
      <c r="B24" s="9" t="s">
        <v>10</v>
      </c>
      <c r="D24" s="20">
        <f>195.146+16.155</f>
        <v>211.30099999999999</v>
      </c>
      <c r="E24" s="20">
        <f>222.709+20.343</f>
        <v>243.05199999999999</v>
      </c>
      <c r="F24" s="20">
        <f>491.122+77.67</f>
        <v>568.79200000000003</v>
      </c>
      <c r="G24" s="20">
        <f>455.658+12.871</f>
        <v>468.529</v>
      </c>
      <c r="H24" s="20">
        <f>798.839+54.389</f>
        <v>853.22800000000007</v>
      </c>
    </row>
    <row r="25" spans="1:9" ht="11.25" customHeight="1" x14ac:dyDescent="0.2">
      <c r="B25" s="9" t="s">
        <v>11</v>
      </c>
      <c r="D25" s="20">
        <v>118.408</v>
      </c>
      <c r="E25" s="20">
        <v>143.928</v>
      </c>
      <c r="F25" s="20">
        <v>147.90100000000001</v>
      </c>
      <c r="G25" s="20">
        <v>160.98500000000001</v>
      </c>
      <c r="H25" s="20">
        <v>165.578</v>
      </c>
    </row>
    <row r="26" spans="1:9" ht="11.25" customHeight="1" x14ac:dyDescent="0.2">
      <c r="B26" s="9" t="s">
        <v>12</v>
      </c>
      <c r="D26" s="20">
        <v>1714.5920000000001</v>
      </c>
      <c r="E26" s="20">
        <v>2104.8449999999998</v>
      </c>
      <c r="F26" s="20">
        <v>2812.3609999999999</v>
      </c>
      <c r="G26" s="20">
        <v>3285.37</v>
      </c>
      <c r="H26" s="20">
        <v>3610.7759999999998</v>
      </c>
    </row>
    <row r="27" spans="1:9" ht="11.25" customHeight="1" x14ac:dyDescent="0.2">
      <c r="B27" s="9" t="s">
        <v>13</v>
      </c>
      <c r="D27" s="58">
        <f>34.116+31.185</f>
        <v>65.301000000000002</v>
      </c>
      <c r="E27" s="58">
        <f>56.124+37.734</f>
        <v>93.858000000000004</v>
      </c>
      <c r="F27" s="58">
        <f>53.145+110.957</f>
        <v>164.102</v>
      </c>
      <c r="G27" s="58">
        <f>81.044+161.498</f>
        <v>242.54199999999997</v>
      </c>
      <c r="H27" s="58">
        <f>92.504+198.306</f>
        <v>290.81</v>
      </c>
    </row>
    <row r="28" spans="1:9" ht="11.25" customHeight="1" x14ac:dyDescent="0.2">
      <c r="B28" s="9" t="s">
        <v>14</v>
      </c>
      <c r="D28" s="20">
        <f>SUM(D24:D27)</f>
        <v>2109.6020000000003</v>
      </c>
      <c r="E28" s="20">
        <f>SUM(E24:E27)</f>
        <v>2585.683</v>
      </c>
      <c r="F28" s="20">
        <f>SUM(F24:F27)</f>
        <v>3693.1559999999999</v>
      </c>
      <c r="G28" s="20">
        <f>SUM(G24:G27)</f>
        <v>4157.4260000000004</v>
      </c>
      <c r="H28" s="20">
        <f>SUM(H24:H27)</f>
        <v>4920.3920000000007</v>
      </c>
    </row>
    <row r="29" spans="1:9" ht="11.25" customHeight="1" x14ac:dyDescent="0.2">
      <c r="B29" s="9" t="s">
        <v>15</v>
      </c>
      <c r="D29" s="20">
        <v>3005.1990000000001</v>
      </c>
      <c r="E29" s="20">
        <v>3636.9169999999999</v>
      </c>
      <c r="F29" s="20">
        <v>5177.2219999999998</v>
      </c>
      <c r="G29" s="20">
        <v>7034.96</v>
      </c>
      <c r="H29" s="20">
        <v>8653.4390000000003</v>
      </c>
    </row>
    <row r="30" spans="1:9" ht="11.25" customHeight="1" x14ac:dyDescent="0.2">
      <c r="B30" s="9" t="s">
        <v>16</v>
      </c>
      <c r="D30" s="58">
        <f>35.161+69.315</f>
        <v>104.476</v>
      </c>
      <c r="E30" s="58">
        <f>28.716+93.335</f>
        <v>122.05099999999999</v>
      </c>
      <c r="F30" s="58">
        <f>31.114+110.831</f>
        <v>141.94499999999999</v>
      </c>
      <c r="G30" s="58">
        <f>34.69+131.091</f>
        <v>165.78100000000001</v>
      </c>
      <c r="H30" s="58">
        <f>21.66+140.728</f>
        <v>162.38800000000001</v>
      </c>
    </row>
    <row r="31" spans="1:9" ht="11.25" customHeight="1" x14ac:dyDescent="0.2">
      <c r="B31" s="9" t="s">
        <v>17</v>
      </c>
      <c r="D31" s="20">
        <f>SUM(D28:D30)</f>
        <v>5219.277</v>
      </c>
      <c r="E31" s="20">
        <f>SUM(E28:E30)</f>
        <v>6344.6510000000007</v>
      </c>
      <c r="F31" s="20">
        <f>SUM(F28:F30)</f>
        <v>9012.3230000000003</v>
      </c>
      <c r="G31" s="20">
        <f>SUM(G28:G30)</f>
        <v>11358.167000000001</v>
      </c>
      <c r="H31" s="20">
        <f>SUM(H28:H30)</f>
        <v>13736.219000000003</v>
      </c>
    </row>
    <row r="32" spans="1:9" ht="11.25" customHeight="1" x14ac:dyDescent="0.2">
      <c r="D32" s="20"/>
      <c r="E32" s="20"/>
      <c r="F32" s="20"/>
      <c r="G32" s="20"/>
      <c r="H32" s="20"/>
    </row>
    <row r="33" spans="1:8" ht="11.25" customHeight="1" x14ac:dyDescent="0.2">
      <c r="B33" s="9" t="s">
        <v>18</v>
      </c>
      <c r="D33" s="20">
        <v>969.10400000000004</v>
      </c>
      <c r="E33" s="20">
        <v>1133.1769999999999</v>
      </c>
      <c r="F33" s="20">
        <v>1566.9459999999999</v>
      </c>
      <c r="G33" s="20">
        <v>1714.37</v>
      </c>
      <c r="H33" s="20">
        <v>1714.7760000000001</v>
      </c>
    </row>
    <row r="34" spans="1:8" ht="11.25" customHeight="1" x14ac:dyDescent="0.2">
      <c r="B34" s="9" t="s">
        <v>19</v>
      </c>
      <c r="D34" s="20">
        <v>83.376999999999995</v>
      </c>
      <c r="E34" s="20">
        <v>112.749</v>
      </c>
      <c r="F34" s="20">
        <v>164.00299999999999</v>
      </c>
      <c r="G34" s="20">
        <v>166.392</v>
      </c>
      <c r="H34" s="20">
        <v>220.88499999999999</v>
      </c>
    </row>
    <row r="35" spans="1:8" ht="11.25" customHeight="1" x14ac:dyDescent="0.2">
      <c r="B35" s="9" t="s">
        <v>20</v>
      </c>
      <c r="D35" s="20">
        <v>98.103999999999999</v>
      </c>
      <c r="E35" s="20">
        <v>92.474999999999994</v>
      </c>
      <c r="F35" s="20">
        <v>92.474999999999994</v>
      </c>
      <c r="G35" s="20">
        <v>249.82900000000001</v>
      </c>
      <c r="H35" s="20">
        <v>100</v>
      </c>
    </row>
    <row r="36" spans="1:8" ht="11.25" customHeight="1" x14ac:dyDescent="0.2">
      <c r="B36" s="9" t="s">
        <v>21</v>
      </c>
      <c r="D36" s="20">
        <v>12.478</v>
      </c>
      <c r="E36" s="20">
        <v>99.019000000000005</v>
      </c>
      <c r="F36" s="20">
        <v>59.908000000000001</v>
      </c>
      <c r="G36" s="20">
        <v>42.341000000000001</v>
      </c>
      <c r="H36" s="20">
        <v>59.259</v>
      </c>
    </row>
    <row r="37" spans="1:8" ht="11.25" customHeight="1" x14ac:dyDescent="0.2">
      <c r="B37" s="9" t="s">
        <v>22</v>
      </c>
      <c r="D37" s="58">
        <f>64.669+220.915</f>
        <v>285.584</v>
      </c>
      <c r="E37" s="58">
        <f>80.104+247.82</f>
        <v>327.92399999999998</v>
      </c>
      <c r="F37" s="58">
        <f>101.946+400.676</f>
        <v>502.62199999999996</v>
      </c>
      <c r="G37" s="58">
        <f>75.656+662.41</f>
        <v>738.06600000000003</v>
      </c>
      <c r="H37" s="58">
        <f>126.339+795.571</f>
        <v>921.91000000000008</v>
      </c>
    </row>
    <row r="38" spans="1:8" s="19" customFormat="1" ht="11.25" customHeight="1" x14ac:dyDescent="0.2">
      <c r="B38" s="19" t="s">
        <v>23</v>
      </c>
      <c r="D38" s="20">
        <f>SUM(D33:D37)</f>
        <v>1448.6470000000002</v>
      </c>
      <c r="E38" s="20">
        <f>SUM(E33:E37)</f>
        <v>1765.3439999999998</v>
      </c>
      <c r="F38" s="20">
        <f>SUM(F33:F37)</f>
        <v>2385.9539999999997</v>
      </c>
      <c r="G38" s="20">
        <f>SUM(G33:G37)</f>
        <v>2910.9979999999996</v>
      </c>
      <c r="H38" s="20">
        <f>SUM(H33:H37)</f>
        <v>3016.83</v>
      </c>
    </row>
    <row r="39" spans="1:8" s="19" customFormat="1" ht="11.25" customHeight="1" x14ac:dyDescent="0.2">
      <c r="B39" s="19" t="s">
        <v>77</v>
      </c>
      <c r="D39" s="20">
        <v>1045.57</v>
      </c>
      <c r="E39" s="20">
        <v>1283.0920000000001</v>
      </c>
      <c r="F39" s="20">
        <v>1726.579</v>
      </c>
      <c r="G39" s="20">
        <v>2697.6689999999999</v>
      </c>
      <c r="H39" s="20">
        <v>3734.011</v>
      </c>
    </row>
    <row r="40" spans="1:8" s="19" customFormat="1" ht="11.25" customHeight="1" x14ac:dyDescent="0.2">
      <c r="B40" s="19" t="s">
        <v>24</v>
      </c>
      <c r="D40" s="20">
        <v>123.77800000000001</v>
      </c>
      <c r="E40" s="20">
        <v>160.26300000000001</v>
      </c>
      <c r="F40" s="20">
        <v>199.82400000000001</v>
      </c>
      <c r="G40" s="20">
        <v>251.45</v>
      </c>
      <c r="H40" s="20">
        <v>304.697</v>
      </c>
    </row>
    <row r="41" spans="1:8" s="19" customFormat="1" ht="11.25" customHeight="1" x14ac:dyDescent="0.2">
      <c r="B41" s="19" t="s">
        <v>25</v>
      </c>
      <c r="D41" s="20">
        <v>0</v>
      </c>
      <c r="E41" s="20">
        <v>0</v>
      </c>
      <c r="F41" s="20">
        <v>4.4950000000000001</v>
      </c>
      <c r="G41" s="20">
        <v>3.165</v>
      </c>
      <c r="H41" s="20">
        <v>6.2389999999999999</v>
      </c>
    </row>
    <row r="42" spans="1:8" s="19" customFormat="1" ht="11.25" customHeight="1" x14ac:dyDescent="0.2">
      <c r="B42" s="19" t="s">
        <v>26</v>
      </c>
      <c r="D42" s="20">
        <v>0</v>
      </c>
      <c r="E42" s="20">
        <v>0</v>
      </c>
      <c r="F42" s="20">
        <v>0</v>
      </c>
      <c r="G42" s="20">
        <v>0</v>
      </c>
      <c r="H42" s="20">
        <v>0</v>
      </c>
    </row>
    <row r="43" spans="1:8" s="19" customFormat="1" ht="11.25" customHeight="1" x14ac:dyDescent="0.2">
      <c r="B43" s="19" t="s">
        <v>27</v>
      </c>
      <c r="D43" s="58">
        <v>2600.6089999999999</v>
      </c>
      <c r="E43" s="58">
        <v>3135.9520000000002</v>
      </c>
      <c r="F43" s="58">
        <v>4695.4709999999995</v>
      </c>
      <c r="G43" s="58">
        <v>5494.8850000000002</v>
      </c>
      <c r="H43" s="58">
        <v>6674.442</v>
      </c>
    </row>
    <row r="44" spans="1:8" s="2" customFormat="1" ht="12" customHeight="1" x14ac:dyDescent="0.2">
      <c r="B44" s="12" t="s">
        <v>78</v>
      </c>
      <c r="D44" s="20">
        <f>SUM(D38:D43)</f>
        <v>5218.6039999999994</v>
      </c>
      <c r="E44" s="20">
        <f>SUM(E38:E43)</f>
        <v>6344.6509999999998</v>
      </c>
      <c r="F44" s="20">
        <f>SUM(F38:F43)</f>
        <v>9012.3229999999985</v>
      </c>
      <c r="G44" s="20">
        <f>SUM(G38:G43)</f>
        <v>11358.166999999999</v>
      </c>
      <c r="H44" s="20">
        <f>SUM(H38:H43)</f>
        <v>13736.219000000001</v>
      </c>
    </row>
    <row r="45" spans="1:8" s="2" customFormat="1" ht="12" customHeight="1" x14ac:dyDescent="0.2">
      <c r="B45" s="12"/>
      <c r="D45" s="14"/>
      <c r="E45" s="14"/>
      <c r="F45" s="14"/>
      <c r="G45" s="14"/>
      <c r="H45" s="14"/>
    </row>
    <row r="46" spans="1:8" s="20" customFormat="1" ht="11.25" customHeight="1" x14ac:dyDescent="0.2">
      <c r="A46" s="20" t="s">
        <v>70</v>
      </c>
    </row>
    <row r="47" spans="1:8" ht="11.25" customHeight="1" x14ac:dyDescent="0.2"/>
    <row r="48" spans="1: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  <row r="75" ht="11.25" customHeight="1" x14ac:dyDescent="0.2"/>
    <row r="76" ht="11.25" customHeight="1" x14ac:dyDescent="0.2"/>
    <row r="77" ht="11.25" customHeight="1" x14ac:dyDescent="0.2"/>
    <row r="78" ht="11.25" customHeight="1" x14ac:dyDescent="0.2"/>
    <row r="79" ht="11.25" customHeight="1" x14ac:dyDescent="0.2"/>
    <row r="80" ht="11.25" customHeight="1" x14ac:dyDescent="0.2"/>
    <row r="81" ht="11.25" customHeight="1" x14ac:dyDescent="0.2"/>
    <row r="82" ht="11.25" customHeight="1" x14ac:dyDescent="0.2"/>
    <row r="83" ht="11.25" customHeight="1" x14ac:dyDescent="0.2"/>
    <row r="84" ht="11.25" customHeight="1" x14ac:dyDescent="0.2"/>
    <row r="85" ht="11.25" customHeight="1" x14ac:dyDescent="0.2"/>
    <row r="86" ht="11.25" customHeight="1" x14ac:dyDescent="0.2"/>
    <row r="87" ht="11.25" customHeight="1" x14ac:dyDescent="0.2"/>
    <row r="88" ht="11.25" customHeight="1" x14ac:dyDescent="0.2"/>
    <row r="89" ht="11.25" customHeight="1" x14ac:dyDescent="0.2"/>
    <row r="90" ht="11.25" customHeight="1" x14ac:dyDescent="0.2"/>
    <row r="91" ht="11.25" customHeight="1" x14ac:dyDescent="0.2"/>
    <row r="92" ht="11.25" customHeight="1" x14ac:dyDescent="0.2"/>
    <row r="93" ht="11.25" customHeight="1" x14ac:dyDescent="0.2"/>
    <row r="94" ht="11.25" customHeight="1" x14ac:dyDescent="0.2"/>
    <row r="95" ht="11.25" customHeight="1" x14ac:dyDescent="0.2"/>
    <row r="96" ht="11.25" customHeight="1" x14ac:dyDescent="0.2"/>
    <row r="97" ht="11.25" customHeight="1" x14ac:dyDescent="0.2"/>
    <row r="98" ht="11.25" customHeight="1" x14ac:dyDescent="0.2"/>
    <row r="99" ht="11.25" customHeight="1" x14ac:dyDescent="0.2"/>
    <row r="100" ht="11.25" customHeight="1" x14ac:dyDescent="0.2"/>
    <row r="101" ht="11.25" customHeight="1" x14ac:dyDescent="0.2"/>
    <row r="102" ht="11.25" customHeight="1" x14ac:dyDescent="0.2"/>
    <row r="103" ht="11.25" customHeight="1" x14ac:dyDescent="0.2"/>
    <row r="104" ht="11.25" customHeight="1" x14ac:dyDescent="0.2"/>
    <row r="105" ht="11.25" customHeight="1" x14ac:dyDescent="0.2"/>
    <row r="106" ht="11.25" customHeight="1" x14ac:dyDescent="0.2"/>
    <row r="107" ht="11.25" customHeight="1" x14ac:dyDescent="0.2"/>
    <row r="108" ht="11.25" customHeight="1" x14ac:dyDescent="0.2"/>
    <row r="109" ht="11.25" customHeight="1" x14ac:dyDescent="0.2"/>
    <row r="110" ht="11.25" customHeight="1" x14ac:dyDescent="0.2"/>
    <row r="111" ht="11.25" customHeight="1" x14ac:dyDescent="0.2"/>
    <row r="112" ht="11.25" customHeight="1" x14ac:dyDescent="0.2"/>
    <row r="113" ht="11.25" customHeight="1" x14ac:dyDescent="0.2"/>
    <row r="114" ht="11.25" customHeight="1" x14ac:dyDescent="0.2"/>
    <row r="115" ht="11.25" customHeight="1" x14ac:dyDescent="0.2"/>
    <row r="116" ht="11.25" customHeight="1" x14ac:dyDescent="0.2"/>
    <row r="117" ht="11.25" customHeight="1" x14ac:dyDescent="0.2"/>
    <row r="118" ht="11.25" customHeight="1" x14ac:dyDescent="0.2"/>
    <row r="119" ht="11.25" customHeight="1" x14ac:dyDescent="0.2"/>
    <row r="120" ht="11.25" customHeight="1" x14ac:dyDescent="0.2"/>
    <row r="121" ht="11.25" customHeight="1" x14ac:dyDescent="0.2"/>
    <row r="122" ht="11.25" customHeight="1" x14ac:dyDescent="0.2"/>
    <row r="123" ht="11.25" customHeight="1" x14ac:dyDescent="0.2"/>
    <row r="124" ht="11.25" customHeight="1" x14ac:dyDescent="0.2"/>
    <row r="125" ht="11.25" customHeight="1" x14ac:dyDescent="0.2"/>
    <row r="126" ht="11.25" customHeight="1" x14ac:dyDescent="0.2"/>
    <row r="127" ht="11.25" customHeight="1" x14ac:dyDescent="0.2"/>
    <row r="128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  <row r="195" ht="11.25" customHeight="1" x14ac:dyDescent="0.2"/>
    <row r="196" ht="11.25" customHeight="1" x14ac:dyDescent="0.2"/>
    <row r="197" ht="11.25" customHeight="1" x14ac:dyDescent="0.2"/>
    <row r="198" ht="11.25" customHeight="1" x14ac:dyDescent="0.2"/>
    <row r="199" ht="11.25" customHeight="1" x14ac:dyDescent="0.2"/>
    <row r="200" ht="11.25" customHeight="1" x14ac:dyDescent="0.2"/>
    <row r="201" ht="11.25" customHeight="1" x14ac:dyDescent="0.2"/>
    <row r="202" ht="11.25" customHeight="1" x14ac:dyDescent="0.2"/>
    <row r="203" ht="11.25" customHeight="1" x14ac:dyDescent="0.2"/>
    <row r="204" ht="11.25" customHeight="1" x14ac:dyDescent="0.2"/>
    <row r="205" ht="11.25" customHeight="1" x14ac:dyDescent="0.2"/>
    <row r="206" ht="11.25" customHeight="1" x14ac:dyDescent="0.2"/>
    <row r="207" ht="11.25" customHeight="1" x14ac:dyDescent="0.2"/>
    <row r="208" ht="11.25" customHeight="1" x14ac:dyDescent="0.2"/>
    <row r="209" ht="11.25" customHeight="1" x14ac:dyDescent="0.2"/>
    <row r="210" ht="11.25" customHeight="1" x14ac:dyDescent="0.2"/>
    <row r="211" ht="11.25" customHeight="1" x14ac:dyDescent="0.2"/>
    <row r="212" ht="11.25" customHeight="1" x14ac:dyDescent="0.2"/>
    <row r="213" ht="11.25" customHeight="1" x14ac:dyDescent="0.2"/>
    <row r="214" ht="11.25" customHeight="1" x14ac:dyDescent="0.2"/>
    <row r="215" ht="11.25" customHeight="1" x14ac:dyDescent="0.2"/>
    <row r="216" ht="11.25" customHeight="1" x14ac:dyDescent="0.2"/>
    <row r="217" ht="11.25" customHeight="1" x14ac:dyDescent="0.2"/>
    <row r="218" ht="11.25" customHeight="1" x14ac:dyDescent="0.2"/>
    <row r="219" ht="11.25" customHeight="1" x14ac:dyDescent="0.2"/>
    <row r="220" ht="11.25" customHeight="1" x14ac:dyDescent="0.2"/>
    <row r="221" ht="11.25" customHeight="1" x14ac:dyDescent="0.2"/>
    <row r="222" ht="11.25" customHeight="1" x14ac:dyDescent="0.2"/>
    <row r="223" ht="11.25" customHeight="1" x14ac:dyDescent="0.2"/>
    <row r="224" ht="11.25" customHeight="1" x14ac:dyDescent="0.2"/>
    <row r="225" ht="11.25" customHeight="1" x14ac:dyDescent="0.2"/>
    <row r="226" ht="11.25" customHeight="1" x14ac:dyDescent="0.2"/>
    <row r="227" ht="11.25" customHeight="1" x14ac:dyDescent="0.2"/>
    <row r="228" ht="11.25" customHeight="1" x14ac:dyDescent="0.2"/>
    <row r="229" ht="11.25" customHeight="1" x14ac:dyDescent="0.2"/>
    <row r="230" ht="11.25" customHeight="1" x14ac:dyDescent="0.2"/>
    <row r="231" ht="11.25" customHeight="1" x14ac:dyDescent="0.2"/>
    <row r="232" ht="11.25" customHeight="1" x14ac:dyDescent="0.2"/>
    <row r="233" ht="11.25" customHeight="1" x14ac:dyDescent="0.2"/>
    <row r="234" ht="11.25" customHeight="1" x14ac:dyDescent="0.2"/>
    <row r="235" ht="11.25" customHeight="1" x14ac:dyDescent="0.2"/>
    <row r="236" ht="11.25" customHeight="1" x14ac:dyDescent="0.2"/>
    <row r="237" ht="11.25" customHeight="1" x14ac:dyDescent="0.2"/>
    <row r="238" ht="11.25" customHeight="1" x14ac:dyDescent="0.2"/>
    <row r="239" ht="11.25" customHeight="1" x14ac:dyDescent="0.2"/>
    <row r="240" ht="11.25" customHeight="1" x14ac:dyDescent="0.2"/>
    <row r="241" ht="11.25" customHeight="1" x14ac:dyDescent="0.2"/>
    <row r="242" ht="11.25" customHeight="1" x14ac:dyDescent="0.2"/>
    <row r="243" ht="11.25" customHeight="1" x14ac:dyDescent="0.2"/>
    <row r="244" ht="11.25" customHeight="1" x14ac:dyDescent="0.2"/>
    <row r="245" ht="11.25" customHeight="1" x14ac:dyDescent="0.2"/>
    <row r="246" ht="11.25" customHeight="1" x14ac:dyDescent="0.2"/>
    <row r="247" ht="11.25" customHeight="1" x14ac:dyDescent="0.2"/>
    <row r="248" ht="11.25" customHeight="1" x14ac:dyDescent="0.2"/>
    <row r="249" ht="11.25" customHeight="1" x14ac:dyDescent="0.2"/>
    <row r="250" ht="11.25" customHeight="1" x14ac:dyDescent="0.2"/>
    <row r="251" ht="11.25" customHeight="1" x14ac:dyDescent="0.2"/>
    <row r="252" ht="11.25" customHeight="1" x14ac:dyDescent="0.2"/>
    <row r="253" ht="11.25" customHeight="1" x14ac:dyDescent="0.2"/>
    <row r="254" ht="11.25" customHeight="1" x14ac:dyDescent="0.2"/>
    <row r="255" ht="11.25" customHeight="1" x14ac:dyDescent="0.2"/>
    <row r="256" ht="11.25" customHeight="1" x14ac:dyDescent="0.2"/>
    <row r="257" ht="11.25" customHeight="1" x14ac:dyDescent="0.2"/>
    <row r="258" ht="11.25" customHeight="1" x14ac:dyDescent="0.2"/>
    <row r="259" ht="11.25" customHeight="1" x14ac:dyDescent="0.2"/>
    <row r="260" ht="11.25" customHeight="1" x14ac:dyDescent="0.2"/>
    <row r="261" ht="11.25" customHeight="1" x14ac:dyDescent="0.2"/>
    <row r="262" ht="11.25" customHeight="1" x14ac:dyDescent="0.2"/>
    <row r="263" ht="11.25" customHeight="1" x14ac:dyDescent="0.2"/>
    <row r="264" ht="11.25" customHeight="1" x14ac:dyDescent="0.2"/>
    <row r="265" ht="11.25" customHeight="1" x14ac:dyDescent="0.2"/>
    <row r="266" ht="11.25" customHeight="1" x14ac:dyDescent="0.2"/>
    <row r="267" ht="11.25" customHeight="1" x14ac:dyDescent="0.2"/>
    <row r="268" ht="11.25" customHeight="1" x14ac:dyDescent="0.2"/>
    <row r="269" ht="11.25" customHeight="1" x14ac:dyDescent="0.2"/>
    <row r="270" ht="11.25" customHeight="1" x14ac:dyDescent="0.2"/>
    <row r="271" ht="11.25" customHeight="1" x14ac:dyDescent="0.2"/>
    <row r="272" ht="11.25" customHeight="1" x14ac:dyDescent="0.2"/>
    <row r="273" ht="11.25" customHeight="1" x14ac:dyDescent="0.2"/>
    <row r="274" ht="11.25" customHeight="1" x14ac:dyDescent="0.2"/>
    <row r="275" ht="11.25" customHeight="1" x14ac:dyDescent="0.2"/>
    <row r="276" ht="11.25" customHeight="1" x14ac:dyDescent="0.2"/>
    <row r="277" ht="11.25" customHeight="1" x14ac:dyDescent="0.2"/>
    <row r="278" ht="11.25" customHeight="1" x14ac:dyDescent="0.2"/>
    <row r="279" ht="11.25" customHeight="1" x14ac:dyDescent="0.2"/>
    <row r="280" ht="11.25" customHeight="1" x14ac:dyDescent="0.2"/>
    <row r="281" ht="11.25" customHeight="1" x14ac:dyDescent="0.2"/>
    <row r="282" ht="11.25" customHeight="1" x14ac:dyDescent="0.2"/>
    <row r="283" ht="11.25" customHeight="1" x14ac:dyDescent="0.2"/>
    <row r="284" ht="11.25" customHeight="1" x14ac:dyDescent="0.2"/>
    <row r="285" ht="11.25" customHeight="1" x14ac:dyDescent="0.2"/>
    <row r="286" ht="11.25" customHeight="1" x14ac:dyDescent="0.2"/>
    <row r="287" ht="11.25" customHeight="1" x14ac:dyDescent="0.2"/>
    <row r="288" ht="11.25" customHeight="1" x14ac:dyDescent="0.2"/>
    <row r="289" ht="11.25" customHeight="1" x14ac:dyDescent="0.2"/>
    <row r="290" ht="11.25" customHeight="1" x14ac:dyDescent="0.2"/>
    <row r="291" ht="11.25" customHeight="1" x14ac:dyDescent="0.2"/>
    <row r="292" ht="11.25" customHeight="1" x14ac:dyDescent="0.2"/>
    <row r="293" ht="11.25" customHeight="1" x14ac:dyDescent="0.2"/>
    <row r="294" ht="11.25" customHeight="1" x14ac:dyDescent="0.2"/>
    <row r="295" ht="11.25" customHeight="1" x14ac:dyDescent="0.2"/>
    <row r="296" ht="11.25" customHeight="1" x14ac:dyDescent="0.2"/>
    <row r="297" ht="11.25" customHeight="1" x14ac:dyDescent="0.2"/>
    <row r="298" ht="11.25" customHeight="1" x14ac:dyDescent="0.2"/>
    <row r="299" ht="11.25" customHeight="1" x14ac:dyDescent="0.2"/>
    <row r="300" ht="11.25" customHeight="1" x14ac:dyDescent="0.2"/>
    <row r="301" ht="11.25" customHeight="1" x14ac:dyDescent="0.2"/>
    <row r="302" ht="11.25" customHeight="1" x14ac:dyDescent="0.2"/>
    <row r="303" ht="11.25" customHeight="1" x14ac:dyDescent="0.2"/>
    <row r="304" ht="11.25" customHeight="1" x14ac:dyDescent="0.2"/>
    <row r="305" ht="11.25" customHeight="1" x14ac:dyDescent="0.2"/>
    <row r="306" ht="11.25" customHeight="1" x14ac:dyDescent="0.2"/>
    <row r="307" ht="11.25" customHeight="1" x14ac:dyDescent="0.2"/>
    <row r="308" ht="11.25" customHeight="1" x14ac:dyDescent="0.2"/>
    <row r="309" ht="11.25" customHeight="1" x14ac:dyDescent="0.2"/>
    <row r="310" ht="11.25" customHeight="1" x14ac:dyDescent="0.2"/>
    <row r="311" ht="11.25" customHeight="1" x14ac:dyDescent="0.2"/>
    <row r="312" ht="11.25" customHeight="1" x14ac:dyDescent="0.2"/>
    <row r="313" ht="11.25" customHeight="1" x14ac:dyDescent="0.2"/>
    <row r="314" ht="11.25" customHeight="1" x14ac:dyDescent="0.2"/>
    <row r="315" ht="11.25" customHeight="1" x14ac:dyDescent="0.2"/>
    <row r="316" ht="11.25" customHeight="1" x14ac:dyDescent="0.2"/>
    <row r="317" ht="11.25" customHeight="1" x14ac:dyDescent="0.2"/>
    <row r="318" ht="11.25" customHeight="1" x14ac:dyDescent="0.2"/>
    <row r="319" ht="11.25" customHeight="1" x14ac:dyDescent="0.2"/>
    <row r="320" ht="11.25" customHeight="1" x14ac:dyDescent="0.2"/>
    <row r="321" ht="11.25" customHeight="1" x14ac:dyDescent="0.2"/>
    <row r="322" ht="11.25" customHeight="1" x14ac:dyDescent="0.2"/>
    <row r="323" ht="11.25" customHeight="1" x14ac:dyDescent="0.2"/>
    <row r="324" ht="11.25" customHeight="1" x14ac:dyDescent="0.2"/>
    <row r="325" ht="11.25" customHeight="1" x14ac:dyDescent="0.2"/>
    <row r="326" ht="11.25" customHeight="1" x14ac:dyDescent="0.2"/>
    <row r="327" ht="11.25" customHeight="1" x14ac:dyDescent="0.2"/>
    <row r="328" ht="11.25" customHeight="1" x14ac:dyDescent="0.2"/>
    <row r="329" ht="11.25" customHeight="1" x14ac:dyDescent="0.2"/>
    <row r="330" ht="11.25" customHeight="1" x14ac:dyDescent="0.2"/>
    <row r="331" ht="11.25" customHeight="1" x14ac:dyDescent="0.2"/>
    <row r="332" ht="11.25" customHeight="1" x14ac:dyDescent="0.2"/>
    <row r="333" ht="11.25" customHeight="1" x14ac:dyDescent="0.2"/>
    <row r="334" ht="11.25" customHeight="1" x14ac:dyDescent="0.2"/>
    <row r="335" ht="11.25" customHeight="1" x14ac:dyDescent="0.2"/>
    <row r="336" ht="11.25" customHeight="1" x14ac:dyDescent="0.2"/>
    <row r="337" ht="11.25" customHeight="1" x14ac:dyDescent="0.2"/>
    <row r="338" ht="11.25" customHeight="1" x14ac:dyDescent="0.2"/>
    <row r="339" ht="11.25" customHeight="1" x14ac:dyDescent="0.2"/>
    <row r="340" ht="11.25" customHeight="1" x14ac:dyDescent="0.2"/>
    <row r="341" ht="11.25" customHeight="1" x14ac:dyDescent="0.2"/>
    <row r="342" ht="11.25" customHeight="1" x14ac:dyDescent="0.2"/>
    <row r="343" ht="11.25" customHeight="1" x14ac:dyDescent="0.2"/>
    <row r="344" ht="11.25" customHeight="1" x14ac:dyDescent="0.2"/>
    <row r="345" ht="11.25" customHeight="1" x14ac:dyDescent="0.2"/>
    <row r="346" ht="11.25" customHeight="1" x14ac:dyDescent="0.2"/>
    <row r="347" ht="11.25" customHeight="1" x14ac:dyDescent="0.2"/>
    <row r="348" ht="11.25" customHeight="1" x14ac:dyDescent="0.2"/>
    <row r="349" ht="11.25" customHeight="1" x14ac:dyDescent="0.2"/>
    <row r="350" ht="11.25" customHeight="1" x14ac:dyDescent="0.2"/>
    <row r="351" ht="11.25" customHeight="1" x14ac:dyDescent="0.2"/>
    <row r="352" ht="11.25" customHeight="1" x14ac:dyDescent="0.2"/>
    <row r="353" ht="11.25" customHeight="1" x14ac:dyDescent="0.2"/>
    <row r="354" ht="11.25" customHeight="1" x14ac:dyDescent="0.2"/>
    <row r="355" ht="11.25" customHeight="1" x14ac:dyDescent="0.2"/>
    <row r="356" ht="11.25" customHeight="1" x14ac:dyDescent="0.2"/>
    <row r="357" ht="11.25" customHeight="1" x14ac:dyDescent="0.2"/>
    <row r="358" ht="11.25" customHeight="1" x14ac:dyDescent="0.2"/>
    <row r="359" ht="11.25" customHeight="1" x14ac:dyDescent="0.2"/>
    <row r="360" ht="11.25" customHeight="1" x14ac:dyDescent="0.2"/>
    <row r="361" ht="11.25" customHeight="1" x14ac:dyDescent="0.2"/>
    <row r="362" ht="11.25" customHeight="1" x14ac:dyDescent="0.2"/>
    <row r="363" ht="11.25" customHeight="1" x14ac:dyDescent="0.2"/>
    <row r="364" ht="11.25" customHeight="1" x14ac:dyDescent="0.2"/>
    <row r="365" ht="11.25" customHeight="1" x14ac:dyDescent="0.2"/>
    <row r="366" ht="11.25" customHeight="1" x14ac:dyDescent="0.2"/>
    <row r="367" ht="11.25" customHeight="1" x14ac:dyDescent="0.2"/>
    <row r="368" ht="11.25" customHeight="1" x14ac:dyDescent="0.2"/>
    <row r="369" ht="11.25" customHeight="1" x14ac:dyDescent="0.2"/>
    <row r="370" ht="11.25" customHeight="1" x14ac:dyDescent="0.2"/>
    <row r="371" ht="11.25" customHeight="1" x14ac:dyDescent="0.2"/>
    <row r="372" ht="11.25" customHeight="1" x14ac:dyDescent="0.2"/>
    <row r="373" ht="11.25" customHeight="1" x14ac:dyDescent="0.2"/>
    <row r="374" ht="11.25" customHeight="1" x14ac:dyDescent="0.2"/>
    <row r="375" ht="11.25" customHeight="1" x14ac:dyDescent="0.2"/>
    <row r="376" ht="11.25" customHeight="1" x14ac:dyDescent="0.2"/>
    <row r="377" ht="11.25" customHeight="1" x14ac:dyDescent="0.2"/>
    <row r="378" ht="11.25" customHeight="1" x14ac:dyDescent="0.2"/>
    <row r="379" ht="11.25" customHeight="1" x14ac:dyDescent="0.2"/>
    <row r="380" ht="11.25" customHeight="1" x14ac:dyDescent="0.2"/>
    <row r="381" ht="11.25" customHeight="1" x14ac:dyDescent="0.2"/>
    <row r="382" ht="11.25" customHeight="1" x14ac:dyDescent="0.2"/>
    <row r="383" ht="11.25" customHeight="1" x14ac:dyDescent="0.2"/>
    <row r="384" ht="11.25" customHeight="1" x14ac:dyDescent="0.2"/>
    <row r="385" ht="11.25" customHeight="1" x14ac:dyDescent="0.2"/>
    <row r="386" ht="11.25" customHeight="1" x14ac:dyDescent="0.2"/>
    <row r="387" ht="11.25" customHeight="1" x14ac:dyDescent="0.2"/>
    <row r="388" ht="11.25" customHeight="1" x14ac:dyDescent="0.2"/>
    <row r="389" ht="11.25" customHeight="1" x14ac:dyDescent="0.2"/>
    <row r="390" ht="11.25" customHeight="1" x14ac:dyDescent="0.2"/>
    <row r="391" ht="11.25" customHeight="1" x14ac:dyDescent="0.2"/>
    <row r="392" ht="11.25" customHeight="1" x14ac:dyDescent="0.2"/>
    <row r="393" ht="11.25" customHeight="1" x14ac:dyDescent="0.2"/>
    <row r="394" ht="11.25" customHeight="1" x14ac:dyDescent="0.2"/>
    <row r="395" ht="11.25" customHeight="1" x14ac:dyDescent="0.2"/>
    <row r="396" ht="11.25" customHeight="1" x14ac:dyDescent="0.2"/>
    <row r="397" ht="11.25" customHeight="1" x14ac:dyDescent="0.2"/>
    <row r="398" ht="11.25" customHeight="1" x14ac:dyDescent="0.2"/>
    <row r="399" ht="11.25" customHeight="1" x14ac:dyDescent="0.2"/>
    <row r="400" ht="11.25" customHeight="1" x14ac:dyDescent="0.2"/>
    <row r="401" ht="11.25" customHeight="1" x14ac:dyDescent="0.2"/>
    <row r="402" ht="11.25" customHeight="1" x14ac:dyDescent="0.2"/>
  </sheetData>
  <mergeCells count="1">
    <mergeCell ref="D8:H8"/>
  </mergeCells>
  <phoneticPr fontId="10" type="noConversion"/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7"/>
  <sheetViews>
    <sheetView workbookViewId="0"/>
  </sheetViews>
  <sheetFormatPr defaultRowHeight="12.75" x14ac:dyDescent="0.2"/>
  <cols>
    <col min="1" max="1" width="43.6640625" customWidth="1"/>
  </cols>
  <sheetData>
    <row r="1" spans="1:10" ht="15.75" x14ac:dyDescent="0.25">
      <c r="D1" s="34" t="s">
        <v>114</v>
      </c>
    </row>
    <row r="2" spans="1:10" ht="15.75" x14ac:dyDescent="0.25">
      <c r="D2" s="36"/>
    </row>
    <row r="3" spans="1:10" ht="15.75" x14ac:dyDescent="0.25">
      <c r="D3" s="37" t="s">
        <v>149</v>
      </c>
    </row>
    <row r="4" spans="1:10" ht="15.75" x14ac:dyDescent="0.25">
      <c r="D4" s="36"/>
    </row>
    <row r="5" spans="1:10" ht="15.75" x14ac:dyDescent="0.25">
      <c r="D5" s="36" t="s">
        <v>115</v>
      </c>
    </row>
    <row r="6" spans="1:10" ht="15.75" x14ac:dyDescent="0.25">
      <c r="A6" s="44"/>
    </row>
    <row r="7" spans="1:10" ht="14.25" customHeight="1" x14ac:dyDescent="0.2">
      <c r="A7" s="45" t="s">
        <v>116</v>
      </c>
      <c r="B7" s="46">
        <v>1997</v>
      </c>
      <c r="C7" s="46">
        <v>1998</v>
      </c>
      <c r="D7" s="46">
        <v>1999</v>
      </c>
      <c r="E7" s="46">
        <v>2000</v>
      </c>
      <c r="F7" s="46">
        <v>2001</v>
      </c>
      <c r="G7" s="46" t="s">
        <v>117</v>
      </c>
      <c r="H7" s="46" t="s">
        <v>118</v>
      </c>
      <c r="I7" s="100" t="s">
        <v>119</v>
      </c>
      <c r="J7" s="100"/>
    </row>
    <row r="8" spans="1:10" ht="11.25" customHeight="1" x14ac:dyDescent="0.2">
      <c r="A8" s="47" t="s">
        <v>120</v>
      </c>
      <c r="B8" s="48">
        <v>8318</v>
      </c>
      <c r="C8" s="48">
        <v>8782</v>
      </c>
      <c r="D8" s="48">
        <v>9274</v>
      </c>
      <c r="E8" s="48">
        <v>9825</v>
      </c>
      <c r="F8" s="48">
        <v>10082</v>
      </c>
      <c r="G8" s="48">
        <v>10440</v>
      </c>
      <c r="H8" s="48">
        <v>10984</v>
      </c>
      <c r="I8" s="48">
        <v>13255</v>
      </c>
      <c r="J8" s="47"/>
    </row>
    <row r="9" spans="1:10" ht="11.25" customHeight="1" x14ac:dyDescent="0.2">
      <c r="A9" s="47" t="s">
        <v>121</v>
      </c>
      <c r="B9" s="48">
        <v>8159</v>
      </c>
      <c r="C9" s="48">
        <v>8509</v>
      </c>
      <c r="D9" s="48">
        <v>8859</v>
      </c>
      <c r="E9" s="48">
        <v>9191</v>
      </c>
      <c r="F9" s="48">
        <v>9215</v>
      </c>
      <c r="G9" s="48">
        <v>9428</v>
      </c>
      <c r="H9" s="48">
        <v>9728</v>
      </c>
      <c r="I9" s="48">
        <v>10827</v>
      </c>
      <c r="J9" s="47"/>
    </row>
    <row r="10" spans="1:10" ht="11.25" customHeight="1" x14ac:dyDescent="0.2">
      <c r="A10" s="47" t="s">
        <v>122</v>
      </c>
      <c r="B10" s="48">
        <v>5424</v>
      </c>
      <c r="C10" s="48">
        <v>5684</v>
      </c>
      <c r="D10" s="48">
        <v>5965</v>
      </c>
      <c r="E10" s="48">
        <v>6224</v>
      </c>
      <c r="F10" s="48">
        <v>6377</v>
      </c>
      <c r="G10" s="48">
        <v>6577</v>
      </c>
      <c r="H10" s="48">
        <v>6772</v>
      </c>
      <c r="I10" s="48">
        <v>7457</v>
      </c>
      <c r="J10" s="47"/>
    </row>
    <row r="11" spans="1:10" ht="11.25" customHeight="1" x14ac:dyDescent="0.2">
      <c r="A11" s="47" t="s">
        <v>123</v>
      </c>
      <c r="B11" s="48">
        <v>1009</v>
      </c>
      <c r="C11" s="48">
        <v>1136</v>
      </c>
      <c r="D11" s="48">
        <v>1228</v>
      </c>
      <c r="E11" s="48">
        <v>1324</v>
      </c>
      <c r="F11" s="48">
        <v>1255</v>
      </c>
      <c r="G11" s="48">
        <v>1190</v>
      </c>
      <c r="H11" s="48">
        <v>1266</v>
      </c>
      <c r="I11" s="48">
        <v>1625</v>
      </c>
      <c r="J11" s="47"/>
    </row>
    <row r="12" spans="1:10" ht="11.25" customHeight="1" x14ac:dyDescent="0.2">
      <c r="A12" s="47"/>
      <c r="B12" s="47"/>
      <c r="C12" s="47"/>
      <c r="D12" s="47"/>
      <c r="E12" s="47"/>
      <c r="F12" s="47"/>
      <c r="G12" s="47"/>
      <c r="H12" s="47"/>
      <c r="I12" s="47"/>
      <c r="J12" s="47"/>
    </row>
    <row r="13" spans="1:10" ht="11.25" customHeight="1" x14ac:dyDescent="0.2">
      <c r="A13" s="51" t="s">
        <v>124</v>
      </c>
      <c r="B13" s="48">
        <v>6.9</v>
      </c>
      <c r="C13" s="48">
        <v>5.0999999999999996</v>
      </c>
      <c r="D13" s="48">
        <v>3.7</v>
      </c>
      <c r="E13" s="48">
        <v>4.5</v>
      </c>
      <c r="F13" s="48">
        <v>-3.7</v>
      </c>
      <c r="G13" s="48">
        <v>3.8</v>
      </c>
      <c r="H13" s="48">
        <v>5.3</v>
      </c>
      <c r="I13" s="48">
        <v>4</v>
      </c>
      <c r="J13" s="47"/>
    </row>
    <row r="14" spans="1:10" ht="11.25" customHeight="1" x14ac:dyDescent="0.2">
      <c r="A14" s="51" t="s">
        <v>125</v>
      </c>
      <c r="B14" s="48">
        <v>1.47</v>
      </c>
      <c r="C14" s="48">
        <v>1.62</v>
      </c>
      <c r="D14" s="48">
        <v>1.65</v>
      </c>
      <c r="E14" s="48">
        <v>1.57</v>
      </c>
      <c r="F14" s="48">
        <v>1.6</v>
      </c>
      <c r="G14" s="48">
        <v>1.66</v>
      </c>
      <c r="H14" s="48">
        <v>1.59</v>
      </c>
      <c r="I14" s="48">
        <v>1.63</v>
      </c>
      <c r="J14" s="47"/>
    </row>
    <row r="15" spans="1:10" ht="11.25" customHeight="1" x14ac:dyDescent="0.2">
      <c r="A15" s="51" t="s">
        <v>126</v>
      </c>
      <c r="B15" s="48">
        <v>8.3000000000000007</v>
      </c>
      <c r="C15" s="48">
        <v>8.1</v>
      </c>
      <c r="D15" s="48">
        <v>8.6999999999999993</v>
      </c>
      <c r="E15" s="48">
        <v>8.9</v>
      </c>
      <c r="F15" s="48">
        <v>8.4</v>
      </c>
      <c r="G15" s="48">
        <v>8.1999999999999993</v>
      </c>
      <c r="H15" s="48">
        <v>8.3000000000000007</v>
      </c>
      <c r="I15" s="48">
        <v>8</v>
      </c>
      <c r="J15" s="47"/>
    </row>
    <row r="16" spans="1:10" ht="11.25" customHeight="1" x14ac:dyDescent="0.2">
      <c r="A16" s="51" t="s">
        <v>127</v>
      </c>
      <c r="B16" s="48">
        <v>4.2</v>
      </c>
      <c r="C16" s="48">
        <v>4.7</v>
      </c>
      <c r="D16" s="48">
        <v>2.7</v>
      </c>
      <c r="E16" s="48">
        <v>2.8</v>
      </c>
      <c r="F16" s="48">
        <v>2.2999999999999998</v>
      </c>
      <c r="G16" s="48">
        <v>3.5</v>
      </c>
      <c r="H16" s="48">
        <v>3.4</v>
      </c>
      <c r="I16" s="48">
        <v>1.5</v>
      </c>
      <c r="J16" s="47"/>
    </row>
    <row r="17" spans="1:10" ht="11.25" customHeight="1" x14ac:dyDescent="0.2">
      <c r="A17" s="51" t="s">
        <v>128</v>
      </c>
      <c r="B17" s="48">
        <v>4.9000000000000004</v>
      </c>
      <c r="C17" s="48">
        <v>4.5</v>
      </c>
      <c r="D17" s="48">
        <v>4.2</v>
      </c>
      <c r="E17" s="48">
        <v>4</v>
      </c>
      <c r="F17" s="48">
        <v>4.8</v>
      </c>
      <c r="G17" s="48">
        <v>5.9</v>
      </c>
      <c r="H17" s="48">
        <v>5.9</v>
      </c>
      <c r="I17" s="48">
        <v>5</v>
      </c>
      <c r="J17" s="47"/>
    </row>
    <row r="18" spans="1:10" ht="11.25" customHeight="1" x14ac:dyDescent="0.2">
      <c r="A18" s="47"/>
      <c r="B18" s="47"/>
      <c r="C18" s="47"/>
      <c r="D18" s="47"/>
      <c r="E18" s="47"/>
      <c r="F18" s="47"/>
      <c r="G18" s="47"/>
      <c r="H18" s="47"/>
      <c r="I18" s="47"/>
      <c r="J18" s="47"/>
    </row>
    <row r="19" spans="1:10" ht="11.25" customHeight="1" x14ac:dyDescent="0.2">
      <c r="A19" s="47" t="s">
        <v>129</v>
      </c>
      <c r="B19" s="48">
        <v>7.3</v>
      </c>
      <c r="C19" s="48">
        <v>6.5</v>
      </c>
      <c r="D19" s="48">
        <v>7</v>
      </c>
      <c r="E19" s="48">
        <v>7.6</v>
      </c>
      <c r="F19" s="48">
        <v>7.1</v>
      </c>
      <c r="G19" s="48">
        <v>6.4</v>
      </c>
      <c r="H19" s="48">
        <v>6.4</v>
      </c>
      <c r="I19" s="48">
        <v>7.3</v>
      </c>
      <c r="J19" s="47"/>
    </row>
    <row r="20" spans="1:10" ht="11.25" customHeight="1" x14ac:dyDescent="0.2">
      <c r="A20" s="47" t="s">
        <v>130</v>
      </c>
      <c r="B20" s="48">
        <v>6.4</v>
      </c>
      <c r="C20" s="48">
        <v>5.3</v>
      </c>
      <c r="D20" s="48">
        <v>5.6</v>
      </c>
      <c r="E20" s="62">
        <v>6</v>
      </c>
      <c r="F20" s="62">
        <v>5</v>
      </c>
      <c r="G20" s="48">
        <v>4.8</v>
      </c>
      <c r="H20" s="48">
        <v>5.0999999999999996</v>
      </c>
      <c r="I20" s="48">
        <v>6.2</v>
      </c>
      <c r="J20" s="47"/>
    </row>
    <row r="21" spans="1:10" ht="11.25" customHeight="1" x14ac:dyDescent="0.2">
      <c r="A21" s="47" t="s">
        <v>131</v>
      </c>
      <c r="B21" s="48">
        <v>5.0999999999999996</v>
      </c>
      <c r="C21" s="48">
        <v>4.8</v>
      </c>
      <c r="D21" s="48">
        <v>4.5999999999999996</v>
      </c>
      <c r="E21" s="48">
        <v>5.8</v>
      </c>
      <c r="F21" s="48">
        <v>3.4</v>
      </c>
      <c r="G21" s="48">
        <v>1.7</v>
      </c>
      <c r="H21" s="48">
        <v>2.4</v>
      </c>
      <c r="I21" s="48">
        <v>4.5</v>
      </c>
      <c r="J21" s="47"/>
    </row>
    <row r="22" spans="1:10" ht="11.25" customHeight="1" x14ac:dyDescent="0.2">
      <c r="A22" s="47"/>
      <c r="B22" s="47"/>
      <c r="C22" s="47"/>
      <c r="D22" s="47"/>
      <c r="E22" s="47"/>
      <c r="F22" s="47"/>
      <c r="G22" s="47"/>
      <c r="H22" s="47"/>
      <c r="I22" s="47"/>
      <c r="J22" s="47"/>
    </row>
    <row r="23" spans="1:10" ht="11.25" customHeight="1" x14ac:dyDescent="0.2">
      <c r="A23" s="45" t="s">
        <v>132</v>
      </c>
      <c r="B23" s="47"/>
      <c r="C23" s="47"/>
      <c r="D23" s="47"/>
      <c r="E23" s="47"/>
      <c r="F23" s="47"/>
      <c r="G23" s="47"/>
      <c r="H23" s="47"/>
      <c r="I23" s="47"/>
      <c r="J23" s="47"/>
    </row>
    <row r="24" spans="1:10" ht="11.25" customHeight="1" x14ac:dyDescent="0.2">
      <c r="A24" s="47" t="s">
        <v>133</v>
      </c>
      <c r="B24" s="48">
        <v>4.4000000000000004</v>
      </c>
      <c r="C24" s="48">
        <v>4.3</v>
      </c>
      <c r="D24" s="48">
        <v>4.0999999999999996</v>
      </c>
      <c r="E24" s="48">
        <v>3.8</v>
      </c>
      <c r="F24" s="48">
        <v>0.3</v>
      </c>
      <c r="G24" s="48">
        <v>2.2999999999999998</v>
      </c>
      <c r="H24" s="48">
        <v>3.2</v>
      </c>
      <c r="I24" s="48">
        <v>3.8</v>
      </c>
      <c r="J24" s="47"/>
    </row>
    <row r="25" spans="1:10" ht="11.25" customHeight="1" x14ac:dyDescent="0.2">
      <c r="A25" s="47" t="s">
        <v>134</v>
      </c>
      <c r="B25" s="48">
        <v>1.9</v>
      </c>
      <c r="C25" s="48">
        <v>1.2</v>
      </c>
      <c r="D25" s="48">
        <v>1.4</v>
      </c>
      <c r="E25" s="48">
        <v>2.1</v>
      </c>
      <c r="F25" s="48">
        <v>2.4</v>
      </c>
      <c r="G25" s="48">
        <v>1.7</v>
      </c>
      <c r="H25" s="48">
        <v>2.5</v>
      </c>
      <c r="I25" s="48">
        <v>2.6</v>
      </c>
      <c r="J25" s="47"/>
    </row>
    <row r="26" spans="1:10" ht="11.25" customHeight="1" x14ac:dyDescent="0.2">
      <c r="A26" s="47" t="s">
        <v>135</v>
      </c>
      <c r="B26" s="48">
        <v>2.2999999999999998</v>
      </c>
      <c r="C26" s="48">
        <v>1.5</v>
      </c>
      <c r="D26" s="48">
        <v>2.2000000000000002</v>
      </c>
      <c r="E26" s="48">
        <v>3.4</v>
      </c>
      <c r="F26" s="48">
        <v>2.8</v>
      </c>
      <c r="G26" s="48">
        <v>2.2999999999999998</v>
      </c>
      <c r="H26" s="48">
        <v>2.5</v>
      </c>
      <c r="I26" s="48">
        <v>2.8</v>
      </c>
      <c r="J26" s="47"/>
    </row>
    <row r="27" spans="1:10" ht="11.25" customHeight="1" x14ac:dyDescent="0.2">
      <c r="A27" s="47"/>
      <c r="B27" s="47"/>
      <c r="C27" s="47"/>
      <c r="D27" s="47"/>
      <c r="E27" s="47"/>
      <c r="F27" s="47"/>
      <c r="G27" s="47"/>
      <c r="H27" s="47"/>
      <c r="I27" s="47"/>
      <c r="J27" s="47"/>
    </row>
    <row r="28" spans="1:10" ht="11.25" customHeight="1" x14ac:dyDescent="0.2">
      <c r="A28" s="45" t="s">
        <v>136</v>
      </c>
      <c r="B28" s="101">
        <v>2002</v>
      </c>
      <c r="C28" s="101"/>
      <c r="D28" s="101"/>
      <c r="E28" s="101"/>
      <c r="F28" s="47"/>
      <c r="G28" s="101">
        <v>2003</v>
      </c>
      <c r="H28" s="101"/>
      <c r="I28" s="101"/>
      <c r="J28" s="101"/>
    </row>
    <row r="29" spans="1:10" ht="11.25" customHeight="1" x14ac:dyDescent="0.2">
      <c r="A29" s="47"/>
      <c r="B29" s="49" t="s">
        <v>137</v>
      </c>
      <c r="C29" s="49" t="s">
        <v>138</v>
      </c>
      <c r="D29" s="49" t="s">
        <v>139</v>
      </c>
      <c r="E29" s="49" t="s">
        <v>140</v>
      </c>
      <c r="F29" s="50"/>
      <c r="G29" s="49" t="s">
        <v>141</v>
      </c>
      <c r="H29" s="49" t="s">
        <v>138</v>
      </c>
      <c r="I29" s="49" t="s">
        <v>139</v>
      </c>
      <c r="J29" s="49" t="s">
        <v>140</v>
      </c>
    </row>
    <row r="30" spans="1:10" ht="11.25" customHeight="1" x14ac:dyDescent="0.2">
      <c r="A30" s="47" t="s">
        <v>120</v>
      </c>
      <c r="B30" s="48">
        <v>10313</v>
      </c>
      <c r="C30" s="48">
        <v>10307</v>
      </c>
      <c r="D30" s="48">
        <v>10475</v>
      </c>
      <c r="E30" s="48">
        <v>10600</v>
      </c>
      <c r="F30" s="47"/>
      <c r="G30" s="48">
        <v>10756</v>
      </c>
      <c r="H30" s="48">
        <v>10901</v>
      </c>
      <c r="I30" s="48">
        <v>11060</v>
      </c>
      <c r="J30" s="48">
        <v>11270</v>
      </c>
    </row>
    <row r="31" spans="1:10" ht="11.25" customHeight="1" x14ac:dyDescent="0.2">
      <c r="A31" s="47" t="s">
        <v>121</v>
      </c>
      <c r="B31" s="48">
        <v>9363</v>
      </c>
      <c r="C31" s="48">
        <v>9388</v>
      </c>
      <c r="D31" s="48">
        <v>9446</v>
      </c>
      <c r="E31" s="48">
        <v>9516</v>
      </c>
      <c r="F31" s="47"/>
      <c r="G31" s="48">
        <v>9598</v>
      </c>
      <c r="H31" s="48">
        <v>9681</v>
      </c>
      <c r="I31" s="48">
        <v>9770</v>
      </c>
      <c r="J31" s="48">
        <v>9861</v>
      </c>
    </row>
    <row r="32" spans="1:10" ht="11.25" customHeight="1" x14ac:dyDescent="0.2">
      <c r="A32" s="47" t="s">
        <v>122</v>
      </c>
      <c r="B32" s="48">
        <v>6514</v>
      </c>
      <c r="C32" s="48">
        <v>6544</v>
      </c>
      <c r="D32" s="48">
        <v>6608</v>
      </c>
      <c r="E32" s="48">
        <v>6641</v>
      </c>
      <c r="F32" s="47"/>
      <c r="G32" s="48">
        <v>6691</v>
      </c>
      <c r="H32" s="48">
        <v>6748</v>
      </c>
      <c r="I32" s="48">
        <v>6798</v>
      </c>
      <c r="J32" s="48">
        <v>6849</v>
      </c>
    </row>
    <row r="33" spans="1:10" ht="11.25" customHeight="1" x14ac:dyDescent="0.2">
      <c r="A33" s="47" t="s">
        <v>123</v>
      </c>
      <c r="B33" s="48">
        <v>1188</v>
      </c>
      <c r="C33" s="48">
        <v>1184</v>
      </c>
      <c r="D33" s="48">
        <v>1190</v>
      </c>
      <c r="E33" s="48">
        <v>1199</v>
      </c>
      <c r="F33" s="47"/>
      <c r="G33" s="48">
        <v>1222</v>
      </c>
      <c r="H33" s="48">
        <v>1249</v>
      </c>
      <c r="I33" s="48">
        <v>1279</v>
      </c>
      <c r="J33" s="48">
        <v>1315</v>
      </c>
    </row>
    <row r="34" spans="1:10" ht="11.25" customHeight="1" x14ac:dyDescent="0.2">
      <c r="A34" s="47"/>
      <c r="B34" s="47"/>
      <c r="C34" s="47"/>
      <c r="D34" s="47"/>
      <c r="E34" s="47"/>
      <c r="F34" s="47"/>
      <c r="G34" s="47"/>
      <c r="H34" s="47"/>
      <c r="I34" s="47"/>
      <c r="J34" s="47"/>
    </row>
    <row r="35" spans="1:10" ht="11.25" customHeight="1" x14ac:dyDescent="0.2">
      <c r="A35" s="47" t="s">
        <v>142</v>
      </c>
      <c r="B35" s="48">
        <v>2.6</v>
      </c>
      <c r="C35" s="48">
        <v>4.5999999999999996</v>
      </c>
      <c r="D35" s="48">
        <v>3</v>
      </c>
      <c r="E35" s="48">
        <v>5</v>
      </c>
      <c r="F35" s="47"/>
      <c r="G35" s="48">
        <v>5.5</v>
      </c>
      <c r="H35" s="48">
        <v>5.5</v>
      </c>
      <c r="I35" s="48">
        <v>5</v>
      </c>
      <c r="J35" s="48">
        <v>5</v>
      </c>
    </row>
    <row r="36" spans="1:10" ht="11.25" customHeight="1" x14ac:dyDescent="0.2">
      <c r="A36" s="47" t="s">
        <v>125</v>
      </c>
      <c r="B36" s="48">
        <v>1.73</v>
      </c>
      <c r="C36" s="48">
        <v>1.66</v>
      </c>
      <c r="D36" s="48">
        <v>1.65</v>
      </c>
      <c r="E36" s="48">
        <v>1.6</v>
      </c>
      <c r="F36" s="47"/>
      <c r="G36" s="48">
        <v>1.57</v>
      </c>
      <c r="H36" s="48">
        <v>1.58</v>
      </c>
      <c r="I36" s="48">
        <v>1.6</v>
      </c>
      <c r="J36" s="48">
        <v>1.6</v>
      </c>
    </row>
    <row r="37" spans="1:10" ht="11.25" customHeight="1" x14ac:dyDescent="0.2">
      <c r="A37" s="47" t="s">
        <v>126</v>
      </c>
      <c r="B37" s="48">
        <v>7.9</v>
      </c>
      <c r="C37" s="48">
        <v>8.1</v>
      </c>
      <c r="D37" s="48">
        <v>8.4</v>
      </c>
      <c r="E37" s="48">
        <v>8.1999999999999993</v>
      </c>
      <c r="F37" s="47"/>
      <c r="G37" s="48">
        <v>8.1999999999999993</v>
      </c>
      <c r="H37" s="48">
        <v>8.1999999999999993</v>
      </c>
      <c r="I37" s="48">
        <v>8.3000000000000007</v>
      </c>
      <c r="J37" s="48">
        <v>8.4</v>
      </c>
    </row>
    <row r="38" spans="1:10" ht="11.25" customHeight="1" x14ac:dyDescent="0.2">
      <c r="A38" s="47"/>
      <c r="B38" s="47"/>
      <c r="C38" s="47"/>
      <c r="D38" s="47"/>
      <c r="E38" s="47"/>
      <c r="F38" s="47"/>
      <c r="G38" s="47"/>
      <c r="H38" s="47"/>
      <c r="I38" s="47"/>
      <c r="J38" s="47"/>
    </row>
    <row r="39" spans="1:10" ht="11.25" customHeight="1" x14ac:dyDescent="0.2">
      <c r="A39" s="47"/>
      <c r="B39" s="47"/>
      <c r="C39" s="47"/>
      <c r="D39" s="47"/>
      <c r="E39" s="47"/>
      <c r="F39" s="47"/>
      <c r="G39" s="47"/>
      <c r="H39" s="47"/>
      <c r="I39" s="47"/>
      <c r="J39" s="47"/>
    </row>
    <row r="40" spans="1:10" ht="11.25" customHeight="1" x14ac:dyDescent="0.2">
      <c r="A40" s="47" t="s">
        <v>143</v>
      </c>
      <c r="B40" s="47"/>
      <c r="C40" s="47"/>
      <c r="D40" s="47"/>
      <c r="E40" s="47"/>
      <c r="F40" s="47"/>
      <c r="G40" s="47"/>
      <c r="H40" s="47"/>
      <c r="I40" s="47"/>
      <c r="J40" s="47"/>
    </row>
    <row r="41" spans="1:10" ht="11.25" customHeight="1" x14ac:dyDescent="0.25">
      <c r="A41" s="44"/>
    </row>
    <row r="42" spans="1:10" ht="15.75" customHeight="1" x14ac:dyDescent="0.25">
      <c r="A42" s="44" t="s">
        <v>144</v>
      </c>
    </row>
    <row r="43" spans="1:10" ht="11.25" customHeight="1" x14ac:dyDescent="0.2"/>
    <row r="44" spans="1:10" ht="11.25" customHeight="1" x14ac:dyDescent="0.2"/>
    <row r="45" spans="1:10" ht="11.25" customHeight="1" x14ac:dyDescent="0.2"/>
    <row r="46" spans="1:10" ht="11.25" customHeight="1" x14ac:dyDescent="0.2"/>
    <row r="47" spans="1:10" ht="11.25" customHeight="1" x14ac:dyDescent="0.2"/>
    <row r="48" spans="1:10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  <row r="75" ht="11.25" customHeight="1" x14ac:dyDescent="0.2"/>
    <row r="76" ht="11.25" customHeight="1" x14ac:dyDescent="0.2"/>
    <row r="77" ht="11.25" customHeight="1" x14ac:dyDescent="0.2"/>
    <row r="78" ht="11.25" customHeight="1" x14ac:dyDescent="0.2"/>
    <row r="79" ht="11.25" customHeight="1" x14ac:dyDescent="0.2"/>
    <row r="80" ht="11.25" customHeight="1" x14ac:dyDescent="0.2"/>
    <row r="81" ht="11.25" customHeight="1" x14ac:dyDescent="0.2"/>
    <row r="82" ht="11.25" customHeight="1" x14ac:dyDescent="0.2"/>
    <row r="83" ht="11.25" customHeight="1" x14ac:dyDescent="0.2"/>
    <row r="84" ht="11.25" customHeight="1" x14ac:dyDescent="0.2"/>
    <row r="85" ht="11.25" customHeight="1" x14ac:dyDescent="0.2"/>
    <row r="86" ht="11.25" customHeight="1" x14ac:dyDescent="0.2"/>
    <row r="87" ht="11.25" customHeight="1" x14ac:dyDescent="0.2"/>
    <row r="88" ht="11.25" customHeight="1" x14ac:dyDescent="0.2"/>
    <row r="89" ht="11.25" customHeight="1" x14ac:dyDescent="0.2"/>
    <row r="90" ht="11.25" customHeight="1" x14ac:dyDescent="0.2"/>
    <row r="91" ht="11.25" customHeight="1" x14ac:dyDescent="0.2"/>
    <row r="92" ht="11.25" customHeight="1" x14ac:dyDescent="0.2"/>
    <row r="93" ht="11.25" customHeight="1" x14ac:dyDescent="0.2"/>
    <row r="94" ht="11.25" customHeight="1" x14ac:dyDescent="0.2"/>
    <row r="95" ht="11.25" customHeight="1" x14ac:dyDescent="0.2"/>
    <row r="96" ht="11.25" customHeight="1" x14ac:dyDescent="0.2"/>
    <row r="97" ht="11.25" customHeight="1" x14ac:dyDescent="0.2"/>
    <row r="98" ht="11.25" customHeight="1" x14ac:dyDescent="0.2"/>
    <row r="99" ht="11.25" customHeight="1" x14ac:dyDescent="0.2"/>
    <row r="100" ht="11.25" customHeight="1" x14ac:dyDescent="0.2"/>
    <row r="101" ht="11.25" customHeight="1" x14ac:dyDescent="0.2"/>
    <row r="102" ht="11.25" customHeight="1" x14ac:dyDescent="0.2"/>
    <row r="103" ht="11.25" customHeight="1" x14ac:dyDescent="0.2"/>
    <row r="104" ht="11.25" customHeight="1" x14ac:dyDescent="0.2"/>
    <row r="105" ht="11.25" customHeight="1" x14ac:dyDescent="0.2"/>
    <row r="106" ht="11.25" customHeight="1" x14ac:dyDescent="0.2"/>
    <row r="107" ht="11.25" customHeight="1" x14ac:dyDescent="0.2"/>
    <row r="108" ht="11.25" customHeight="1" x14ac:dyDescent="0.2"/>
    <row r="109" ht="11.25" customHeight="1" x14ac:dyDescent="0.2"/>
    <row r="110" ht="11.25" customHeight="1" x14ac:dyDescent="0.2"/>
    <row r="111" ht="11.25" customHeight="1" x14ac:dyDescent="0.2"/>
    <row r="112" ht="11.25" customHeight="1" x14ac:dyDescent="0.2"/>
    <row r="113" ht="11.25" customHeight="1" x14ac:dyDescent="0.2"/>
    <row r="114" ht="11.25" customHeight="1" x14ac:dyDescent="0.2"/>
    <row r="115" ht="11.25" customHeight="1" x14ac:dyDescent="0.2"/>
    <row r="116" ht="11.25" customHeight="1" x14ac:dyDescent="0.2"/>
    <row r="117" ht="11.25" customHeight="1" x14ac:dyDescent="0.2"/>
    <row r="118" ht="11.25" customHeight="1" x14ac:dyDescent="0.2"/>
    <row r="119" ht="11.25" customHeight="1" x14ac:dyDescent="0.2"/>
    <row r="120" ht="11.25" customHeight="1" x14ac:dyDescent="0.2"/>
    <row r="121" ht="11.25" customHeight="1" x14ac:dyDescent="0.2"/>
    <row r="122" ht="11.25" customHeight="1" x14ac:dyDescent="0.2"/>
    <row r="123" ht="11.25" customHeight="1" x14ac:dyDescent="0.2"/>
    <row r="124" ht="11.25" customHeight="1" x14ac:dyDescent="0.2"/>
    <row r="125" ht="11.25" customHeight="1" x14ac:dyDescent="0.2"/>
    <row r="126" ht="11.25" customHeight="1" x14ac:dyDescent="0.2"/>
    <row r="127" ht="11.25" customHeight="1" x14ac:dyDescent="0.2"/>
    <row r="128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  <row r="195" ht="11.25" customHeight="1" x14ac:dyDescent="0.2"/>
    <row r="196" ht="11.25" customHeight="1" x14ac:dyDescent="0.2"/>
    <row r="197" ht="11.25" customHeight="1" x14ac:dyDescent="0.2"/>
    <row r="198" ht="11.25" customHeight="1" x14ac:dyDescent="0.2"/>
    <row r="199" ht="11.25" customHeight="1" x14ac:dyDescent="0.2"/>
    <row r="200" ht="11.25" customHeight="1" x14ac:dyDescent="0.2"/>
    <row r="201" ht="11.25" customHeight="1" x14ac:dyDescent="0.2"/>
    <row r="202" ht="11.25" customHeight="1" x14ac:dyDescent="0.2"/>
    <row r="203" ht="11.25" customHeight="1" x14ac:dyDescent="0.2"/>
    <row r="204" ht="11.25" customHeight="1" x14ac:dyDescent="0.2"/>
    <row r="205" ht="11.25" customHeight="1" x14ac:dyDescent="0.2"/>
    <row r="206" ht="11.25" customHeight="1" x14ac:dyDescent="0.2"/>
    <row r="207" ht="11.25" customHeight="1" x14ac:dyDescent="0.2"/>
    <row r="208" ht="11.25" customHeight="1" x14ac:dyDescent="0.2"/>
    <row r="209" ht="11.25" customHeight="1" x14ac:dyDescent="0.2"/>
    <row r="210" ht="11.25" customHeight="1" x14ac:dyDescent="0.2"/>
    <row r="211" ht="11.25" customHeight="1" x14ac:dyDescent="0.2"/>
    <row r="212" ht="11.25" customHeight="1" x14ac:dyDescent="0.2"/>
    <row r="213" ht="11.25" customHeight="1" x14ac:dyDescent="0.2"/>
    <row r="214" ht="11.25" customHeight="1" x14ac:dyDescent="0.2"/>
    <row r="215" ht="11.25" customHeight="1" x14ac:dyDescent="0.2"/>
    <row r="216" ht="11.25" customHeight="1" x14ac:dyDescent="0.2"/>
    <row r="217" ht="11.25" customHeight="1" x14ac:dyDescent="0.2"/>
    <row r="218" ht="11.25" customHeight="1" x14ac:dyDescent="0.2"/>
    <row r="219" ht="11.25" customHeight="1" x14ac:dyDescent="0.2"/>
    <row r="220" ht="11.25" customHeight="1" x14ac:dyDescent="0.2"/>
    <row r="221" ht="11.25" customHeight="1" x14ac:dyDescent="0.2"/>
    <row r="222" ht="11.25" customHeight="1" x14ac:dyDescent="0.2"/>
    <row r="223" ht="11.25" customHeight="1" x14ac:dyDescent="0.2"/>
    <row r="224" ht="11.25" customHeight="1" x14ac:dyDescent="0.2"/>
    <row r="225" ht="11.25" customHeight="1" x14ac:dyDescent="0.2"/>
    <row r="226" ht="11.25" customHeight="1" x14ac:dyDescent="0.2"/>
    <row r="227" ht="11.25" customHeight="1" x14ac:dyDescent="0.2"/>
    <row r="228" ht="11.25" customHeight="1" x14ac:dyDescent="0.2"/>
    <row r="229" ht="11.25" customHeight="1" x14ac:dyDescent="0.2"/>
    <row r="230" ht="11.25" customHeight="1" x14ac:dyDescent="0.2"/>
    <row r="231" ht="11.25" customHeight="1" x14ac:dyDescent="0.2"/>
    <row r="232" ht="11.25" customHeight="1" x14ac:dyDescent="0.2"/>
    <row r="233" ht="11.25" customHeight="1" x14ac:dyDescent="0.2"/>
    <row r="234" ht="11.25" customHeight="1" x14ac:dyDescent="0.2"/>
    <row r="235" ht="11.25" customHeight="1" x14ac:dyDescent="0.2"/>
    <row r="236" ht="11.25" customHeight="1" x14ac:dyDescent="0.2"/>
    <row r="237" ht="11.25" customHeight="1" x14ac:dyDescent="0.2"/>
    <row r="238" ht="11.25" customHeight="1" x14ac:dyDescent="0.2"/>
    <row r="239" ht="11.25" customHeight="1" x14ac:dyDescent="0.2"/>
    <row r="240" ht="11.25" customHeight="1" x14ac:dyDescent="0.2"/>
    <row r="241" ht="11.25" customHeight="1" x14ac:dyDescent="0.2"/>
    <row r="242" ht="11.25" customHeight="1" x14ac:dyDescent="0.2"/>
    <row r="243" ht="11.25" customHeight="1" x14ac:dyDescent="0.2"/>
    <row r="244" ht="11.25" customHeight="1" x14ac:dyDescent="0.2"/>
    <row r="245" ht="11.25" customHeight="1" x14ac:dyDescent="0.2"/>
    <row r="246" ht="11.25" customHeight="1" x14ac:dyDescent="0.2"/>
    <row r="247" ht="11.25" customHeight="1" x14ac:dyDescent="0.2"/>
    <row r="248" ht="11.25" customHeight="1" x14ac:dyDescent="0.2"/>
    <row r="249" ht="11.25" customHeight="1" x14ac:dyDescent="0.2"/>
    <row r="250" ht="11.25" customHeight="1" x14ac:dyDescent="0.2"/>
    <row r="251" ht="11.25" customHeight="1" x14ac:dyDescent="0.2"/>
    <row r="252" ht="11.25" customHeight="1" x14ac:dyDescent="0.2"/>
    <row r="253" ht="11.25" customHeight="1" x14ac:dyDescent="0.2"/>
    <row r="254" ht="11.25" customHeight="1" x14ac:dyDescent="0.2"/>
    <row r="255" ht="11.25" customHeight="1" x14ac:dyDescent="0.2"/>
    <row r="256" ht="11.25" customHeight="1" x14ac:dyDescent="0.2"/>
    <row r="257" ht="11.25" customHeight="1" x14ac:dyDescent="0.2"/>
    <row r="258" ht="11.25" customHeight="1" x14ac:dyDescent="0.2"/>
    <row r="259" ht="11.25" customHeight="1" x14ac:dyDescent="0.2"/>
    <row r="260" ht="11.25" customHeight="1" x14ac:dyDescent="0.2"/>
    <row r="261" ht="11.25" customHeight="1" x14ac:dyDescent="0.2"/>
    <row r="262" ht="11.25" customHeight="1" x14ac:dyDescent="0.2"/>
    <row r="263" ht="11.25" customHeight="1" x14ac:dyDescent="0.2"/>
    <row r="264" ht="11.25" customHeight="1" x14ac:dyDescent="0.2"/>
    <row r="265" ht="11.25" customHeight="1" x14ac:dyDescent="0.2"/>
    <row r="266" ht="11.25" customHeight="1" x14ac:dyDescent="0.2"/>
    <row r="267" ht="11.25" customHeight="1" x14ac:dyDescent="0.2"/>
  </sheetData>
  <mergeCells count="3">
    <mergeCell ref="I7:J7"/>
    <mergeCell ref="B28:E28"/>
    <mergeCell ref="G28:J28"/>
  </mergeCells>
  <phoneticPr fontId="10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workbookViewId="0"/>
  </sheetViews>
  <sheetFormatPr defaultRowHeight="12.75" x14ac:dyDescent="0.2"/>
  <cols>
    <col min="1" max="1" width="4.1640625" style="2" customWidth="1"/>
    <col min="2" max="2" width="28.83203125" style="2" customWidth="1"/>
    <col min="3" max="3" width="10.5" style="2" customWidth="1"/>
    <col min="4" max="8" width="11" style="2" customWidth="1"/>
    <col min="9" max="9" width="11.83203125" style="2" customWidth="1"/>
    <col min="10" max="10" width="11" style="2" bestFit="1" customWidth="1"/>
    <col min="11" max="11" width="14" style="2" customWidth="1"/>
    <col min="12" max="17" width="11" style="2" bestFit="1" customWidth="1"/>
    <col min="18" max="18" width="13.1640625" style="2" customWidth="1"/>
    <col min="19" max="19" width="14.1640625" style="2" customWidth="1"/>
    <col min="20" max="20" width="12.83203125" style="2" customWidth="1"/>
    <col min="21" max="21" width="12.6640625" style="2" customWidth="1"/>
    <col min="22" max="22" width="13.5" style="2" customWidth="1"/>
    <col min="23" max="23" width="12.83203125" style="2" customWidth="1"/>
    <col min="24" max="24" width="11" style="2" bestFit="1" customWidth="1"/>
    <col min="25" max="25" width="12.83203125" style="2" customWidth="1"/>
    <col min="26" max="26" width="11" style="2" bestFit="1" customWidth="1"/>
    <col min="27" max="27" width="12" style="2" customWidth="1"/>
    <col min="28" max="16384" width="9.33203125" style="2"/>
  </cols>
  <sheetData>
    <row r="1" spans="1:8" customFormat="1" ht="15.75" x14ac:dyDescent="0.25">
      <c r="D1" s="34" t="s">
        <v>52</v>
      </c>
    </row>
    <row r="2" spans="1:8" customFormat="1" ht="15.75" x14ac:dyDescent="0.25">
      <c r="D2" s="36"/>
    </row>
    <row r="3" spans="1:8" customFormat="1" ht="15.75" x14ac:dyDescent="0.25">
      <c r="D3" s="37" t="s">
        <v>149</v>
      </c>
    </row>
    <row r="4" spans="1:8" x14ac:dyDescent="0.2">
      <c r="A4" s="1"/>
      <c r="B4" s="3"/>
      <c r="C4" s="3"/>
      <c r="D4" s="4"/>
      <c r="F4" s="3"/>
      <c r="G4" s="3"/>
      <c r="H4" s="3"/>
    </row>
    <row r="5" spans="1:8" ht="15.75" x14ac:dyDescent="0.25">
      <c r="A5" s="1"/>
      <c r="B5" s="3"/>
      <c r="C5" s="3"/>
      <c r="D5" s="63" t="s">
        <v>152</v>
      </c>
      <c r="F5" s="3"/>
      <c r="G5" s="3"/>
      <c r="H5" s="3"/>
    </row>
    <row r="6" spans="1:8" x14ac:dyDescent="0.2">
      <c r="A6" s="1"/>
      <c r="B6" s="3"/>
      <c r="C6" s="3"/>
      <c r="D6" s="7"/>
      <c r="F6" s="3"/>
      <c r="G6" s="3"/>
      <c r="H6" s="3"/>
    </row>
    <row r="8" spans="1:8" x14ac:dyDescent="0.2">
      <c r="D8" s="99" t="s">
        <v>71</v>
      </c>
      <c r="E8" s="99"/>
      <c r="F8" s="99"/>
      <c r="G8" s="99"/>
      <c r="H8" s="99"/>
    </row>
    <row r="9" spans="1:8" x14ac:dyDescent="0.2">
      <c r="C9" s="8"/>
      <c r="D9" s="33">
        <v>1997</v>
      </c>
      <c r="E9" s="33">
        <v>1998</v>
      </c>
      <c r="F9" s="33">
        <v>1999</v>
      </c>
      <c r="G9" s="33">
        <v>2000</v>
      </c>
      <c r="H9" s="33">
        <v>2001</v>
      </c>
    </row>
    <row r="10" spans="1:8" ht="13.5" customHeight="1" x14ac:dyDescent="0.2">
      <c r="A10" s="5"/>
    </row>
    <row r="11" spans="1:8" s="12" customFormat="1" x14ac:dyDescent="0.2">
      <c r="B11" t="s">
        <v>153</v>
      </c>
      <c r="D11" s="12">
        <f>'Exh 4'!D28-'Exh 4'!D33-'Exh 4'!D34-'Exh 4'!D37</f>
        <v>2012</v>
      </c>
      <c r="E11" s="12">
        <f>'Exh 4'!E28-'Exh 4'!E33-'Exh 4'!E34-'Exh 4'!E37</f>
        <v>2090</v>
      </c>
      <c r="F11" s="12">
        <f>'Exh 4'!F28-'Exh 4'!F33-'Exh 4'!F34-'Exh 4'!F37</f>
        <v>2763</v>
      </c>
      <c r="G11" s="12">
        <f>'Exh 4'!G28-'Exh 4'!G33-'Exh 4'!G34-'Exh 4'!G37</f>
        <v>3396</v>
      </c>
      <c r="H11" s="12">
        <f>'Exh 4'!H28-'Exh 4'!H33-'Exh 4'!H34-'Exh 4'!H37</f>
        <v>3865</v>
      </c>
    </row>
    <row r="12" spans="1:8" s="12" customFormat="1" x14ac:dyDescent="0.2">
      <c r="B12" t="s">
        <v>33</v>
      </c>
      <c r="D12" s="12">
        <f>'Exh 4'!D29+'Exh 4'!D30</f>
        <v>6769</v>
      </c>
      <c r="E12" s="12">
        <f>'Exh 4'!E29+'Exh 4'!E30</f>
        <v>8532</v>
      </c>
      <c r="F12" s="12">
        <f>'Exh 4'!F29+'Exh 4'!F30</f>
        <v>10691</v>
      </c>
      <c r="G12" s="12">
        <f>'Exh 4'!G29+'Exh 4'!G30</f>
        <v>13608</v>
      </c>
      <c r="H12" s="12">
        <f>'Exh 4'!H29+'Exh 4'!H30</f>
        <v>16033</v>
      </c>
    </row>
    <row r="13" spans="1:8" s="12" customFormat="1" x14ac:dyDescent="0.2">
      <c r="B13" t="s">
        <v>82</v>
      </c>
      <c r="D13" s="12">
        <f>D12+D11</f>
        <v>8781</v>
      </c>
      <c r="E13" s="12">
        <f>E12+E11</f>
        <v>10622</v>
      </c>
      <c r="F13" s="12">
        <f>F12+F11</f>
        <v>13454</v>
      </c>
      <c r="G13" s="12">
        <f>G12+G11</f>
        <v>17004</v>
      </c>
      <c r="H13" s="12">
        <f>H12+H11</f>
        <v>19898</v>
      </c>
    </row>
    <row r="14" spans="1:8" s="13" customFormat="1" x14ac:dyDescent="0.2">
      <c r="B14" t="s">
        <v>79</v>
      </c>
      <c r="D14" s="13">
        <v>0.38900000000000001</v>
      </c>
      <c r="E14" s="13">
        <v>0.39200000000000002</v>
      </c>
      <c r="F14" s="13">
        <v>0.39</v>
      </c>
      <c r="G14" s="13">
        <v>0.38800000000000001</v>
      </c>
      <c r="H14" s="13">
        <v>0.38600000000000001</v>
      </c>
    </row>
    <row r="15" spans="1:8" s="12" customFormat="1" x14ac:dyDescent="0.2">
      <c r="B15" t="s">
        <v>83</v>
      </c>
      <c r="D15" s="12">
        <f>'Exh 4'!D16*(1-D14)</f>
        <v>1158.4559999999999</v>
      </c>
      <c r="E15" s="12">
        <f>'Exh 4'!E16*(1-E14)</f>
        <v>1623.36</v>
      </c>
      <c r="F15" s="12">
        <f>'Exh 4'!F16*(1-F14)</f>
        <v>2322.88</v>
      </c>
      <c r="G15" s="12">
        <f>'Exh 4'!G16*(1-G14)</f>
        <v>2564.8919999999998</v>
      </c>
      <c r="H15" s="12">
        <f>'Exh 4'!H16*(1-H14)</f>
        <v>3028.248</v>
      </c>
    </row>
    <row r="16" spans="1:8" s="12" customFormat="1" x14ac:dyDescent="0.2"/>
    <row r="17" spans="1:8" x14ac:dyDescent="0.2">
      <c r="A17" s="5" t="s">
        <v>32</v>
      </c>
      <c r="C17" s="8"/>
      <c r="D17" s="8"/>
      <c r="E17" s="8"/>
      <c r="F17" s="8"/>
      <c r="G17" s="8"/>
      <c r="H17" s="8"/>
    </row>
    <row r="18" spans="1:8" s="13" customFormat="1" x14ac:dyDescent="0.2">
      <c r="B18" s="13" t="s">
        <v>80</v>
      </c>
      <c r="D18" s="13">
        <f>D15/D13</f>
        <v>0.13192757089169796</v>
      </c>
      <c r="E18" s="13">
        <f>E15/E13</f>
        <v>0.15282997552250047</v>
      </c>
      <c r="F18" s="13">
        <f>F15/F13</f>
        <v>0.1726534859521332</v>
      </c>
      <c r="G18" s="13">
        <f>G15/G13</f>
        <v>0.15084050811573746</v>
      </c>
      <c r="H18" s="13">
        <f>H15/H13</f>
        <v>0.15218856166448891</v>
      </c>
    </row>
    <row r="19" spans="1:8" s="13" customFormat="1" x14ac:dyDescent="0.2">
      <c r="B19" s="13" t="s">
        <v>81</v>
      </c>
      <c r="D19" s="13">
        <f>'Exh 4'!D21/'Exh 4'!D43</f>
        <v>0.16342631727247112</v>
      </c>
      <c r="E19" s="13">
        <f>'Exh 4'!E21/'Exh 4'!E43</f>
        <v>0.18466819221967964</v>
      </c>
      <c r="F19" s="13">
        <f>'Exh 4'!F21/'Exh 4'!F43</f>
        <v>0.18799124868325096</v>
      </c>
      <c r="G19" s="13">
        <f>'Exh 4'!G21/'Exh 4'!G43</f>
        <v>0.17202079445481205</v>
      </c>
      <c r="H19" s="13">
        <f>'Exh 4'!H21/'Exh 4'!H43</f>
        <v>0.16834420971131511</v>
      </c>
    </row>
    <row r="20" spans="1:8" s="9" customFormat="1" x14ac:dyDescent="0.2"/>
    <row r="21" spans="1:8" x14ac:dyDescent="0.2">
      <c r="A21" s="5" t="s">
        <v>34</v>
      </c>
      <c r="C21" s="8"/>
      <c r="D21" s="8"/>
      <c r="E21" s="8"/>
      <c r="F21" s="8"/>
      <c r="G21" s="8"/>
      <c r="H21" s="8"/>
    </row>
    <row r="22" spans="1:8" s="13" customFormat="1" x14ac:dyDescent="0.2">
      <c r="B22" s="13" t="s">
        <v>84</v>
      </c>
      <c r="D22" s="13">
        <f>'Exh 4'!D13/'Exh 4'!D11</f>
        <v>0.29243252194071867</v>
      </c>
      <c r="E22" s="13">
        <f>'Exh 4'!E13/'Exh 4'!E11</f>
        <v>0.29709785234455144</v>
      </c>
      <c r="F22" s="13">
        <f>'Exh 4'!F13/'Exh 4'!F11</f>
        <v>0.30894520476661291</v>
      </c>
      <c r="G22" s="13">
        <f>'Exh 4'!G13/'Exh 4'!G11</f>
        <v>0.31225676680222136</v>
      </c>
      <c r="H22" s="13">
        <f>'Exh 4'!H13/'Exh 4'!H11</f>
        <v>0.31578062853621647</v>
      </c>
    </row>
    <row r="23" spans="1:8" s="13" customFormat="1" x14ac:dyDescent="0.2">
      <c r="B23" s="13" t="s">
        <v>37</v>
      </c>
      <c r="D23" s="13">
        <f>'Exh 4'!D14/'Exh 4'!D11</f>
        <v>0.20222718993210798</v>
      </c>
      <c r="E23" s="13">
        <f>'Exh 4'!E14/'Exh 4'!E11</f>
        <v>0.19639961613554385</v>
      </c>
      <c r="F23" s="13">
        <f>'Exh 4'!F14/'Exh 4'!F11</f>
        <v>0.19781963886142478</v>
      </c>
      <c r="G23" s="13">
        <f>'Exh 4'!G14/'Exh 4'!G11</f>
        <v>0.20748611657702568</v>
      </c>
      <c r="H23" s="13">
        <f>'Exh 4'!H14/'Exh 4'!H11</f>
        <v>0.20941870670177207</v>
      </c>
    </row>
    <row r="24" spans="1:8" s="13" customFormat="1" x14ac:dyDescent="0.2">
      <c r="B24" s="13" t="s">
        <v>36</v>
      </c>
      <c r="D24" s="13">
        <f>'Exh 4'!D15/'Exh 4'!D11</f>
        <v>1.1715515813876469E-2</v>
      </c>
      <c r="E24" s="13">
        <f>'Exh 4'!E15/'Exh 4'!E11</f>
        <v>1.2343227770607895E-2</v>
      </c>
      <c r="F24" s="13">
        <f>'Exh 4'!F15/'Exh 4'!F11</f>
        <v>1.2046625383774783E-2</v>
      </c>
      <c r="G24" s="13">
        <f>'Exh 4'!G15/'Exh 4'!G11</f>
        <v>1.314005859460405E-2</v>
      </c>
      <c r="H24" s="13">
        <f>'Exh 4'!H15/'Exh 4'!H11</f>
        <v>1.4266240920209885E-2</v>
      </c>
    </row>
    <row r="25" spans="1:8" s="13" customFormat="1" x14ac:dyDescent="0.2">
      <c r="B25" s="13" t="s">
        <v>38</v>
      </c>
      <c r="D25" s="13">
        <f>'Exh 4'!D15/'Exh 4'!D29</f>
        <v>4.3478260869565216E-2</v>
      </c>
      <c r="E25" s="13">
        <f>'Exh 4'!E15/'Exh 4'!E29</f>
        <v>4.5710784313725487E-2</v>
      </c>
      <c r="F25" s="13">
        <f>'Exh 4'!F15/'Exh 4'!F29</f>
        <v>4.5272318372934391E-2</v>
      </c>
      <c r="G25" s="13">
        <f>'Exh 4'!G15/'Exh 4'!G29</f>
        <v>4.599020508111417E-2</v>
      </c>
      <c r="H25" s="13">
        <f>'Exh 4'!H15/'Exh 4'!H29</f>
        <v>4.9691056910569104E-2</v>
      </c>
    </row>
    <row r="26" spans="1:8" s="13" customFormat="1" x14ac:dyDescent="0.2">
      <c r="B26" s="13" t="s">
        <v>85</v>
      </c>
      <c r="D26" s="13">
        <f>'Exh 4'!D16/'Exh 4'!D11</f>
        <v>7.8489816194734233E-2</v>
      </c>
      <c r="E26" s="13">
        <f>'Exh 4'!E16/'Exh 4'!E11</f>
        <v>8.8355008438399676E-2</v>
      </c>
      <c r="F26" s="13">
        <f>'Exh 4'!F16/'Exh 4'!F11</f>
        <v>9.9078940521413333E-2</v>
      </c>
      <c r="G26" s="13">
        <f>'Exh 4'!G16/'Exh 4'!G11</f>
        <v>9.1630591630591632E-2</v>
      </c>
      <c r="H26" s="13">
        <f>'Exh 4'!H16/'Exh 4'!H11</f>
        <v>9.2095680914234493E-2</v>
      </c>
    </row>
    <row r="27" spans="1:8" s="13" customFormat="1" x14ac:dyDescent="0.2">
      <c r="B27" s="13" t="s">
        <v>86</v>
      </c>
      <c r="D27" s="13">
        <f>D15/'Exh 4'!D11</f>
        <v>4.7957277694982606E-2</v>
      </c>
      <c r="E27" s="13">
        <f>E15/'Exh 4'!E11</f>
        <v>5.3719845130547006E-2</v>
      </c>
      <c r="F27" s="13">
        <f>F15/'Exh 4'!F11</f>
        <v>6.0438153718062132E-2</v>
      </c>
      <c r="G27" s="13">
        <f>G15/'Exh 4'!G11</f>
        <v>5.6077922077922074E-2</v>
      </c>
      <c r="H27" s="13">
        <f>H15/'Exh 4'!H11</f>
        <v>5.6546748081339984E-2</v>
      </c>
    </row>
    <row r="28" spans="1:8" s="9" customFormat="1" x14ac:dyDescent="0.2"/>
    <row r="29" spans="1:8" s="9" customFormat="1" x14ac:dyDescent="0.2">
      <c r="A29" s="5" t="s">
        <v>39</v>
      </c>
      <c r="H29" s="10"/>
    </row>
    <row r="30" spans="1:8" s="11" customFormat="1" x14ac:dyDescent="0.2">
      <c r="B30" t="s">
        <v>87</v>
      </c>
      <c r="D30" s="59">
        <f>'Exh 4'!D11/'Exh 7'!D13</f>
        <v>2.7509395285275025</v>
      </c>
      <c r="E30" s="59">
        <f>'Exh 4'!E11/'Exh 7'!E13</f>
        <v>2.8449444549049145</v>
      </c>
      <c r="F30" s="59">
        <f>'Exh 4'!F11/'Exh 7'!F13</f>
        <v>2.8566968931172885</v>
      </c>
      <c r="G30" s="59">
        <f>'Exh 4'!G11/'Exh 7'!G13</f>
        <v>2.6898376852505295</v>
      </c>
      <c r="H30" s="59">
        <f>'Exh 4'!H11/'Exh 7'!H13</f>
        <v>2.6913760176902199</v>
      </c>
    </row>
    <row r="31" spans="1:8" x14ac:dyDescent="0.2">
      <c r="B31" t="s">
        <v>88</v>
      </c>
      <c r="D31" s="59">
        <f>'Exh 4'!D11/'Exh 4'!D29</f>
        <v>3.7111691504071285</v>
      </c>
      <c r="E31" s="59">
        <f>'Exh 4'!E11/'Exh 4'!E29</f>
        <v>3.7033088235294116</v>
      </c>
      <c r="F31" s="59">
        <f>'Exh 4'!F11/'Exh 4'!F29</f>
        <v>3.7580913268798279</v>
      </c>
      <c r="G31" s="59">
        <f>'Exh 4'!G11/'Exh 4'!G29</f>
        <v>3.5</v>
      </c>
      <c r="H31" s="59">
        <f>'Exh 4'!H11/'Exh 4'!H29</f>
        <v>3.4831219512195122</v>
      </c>
    </row>
    <row r="32" spans="1:8" s="11" customFormat="1" x14ac:dyDescent="0.2">
      <c r="B32" t="s">
        <v>89</v>
      </c>
      <c r="D32" s="59">
        <f>'Exh 4'!D11/'Exh 7'!D11</f>
        <v>12.00596421471173</v>
      </c>
      <c r="E32" s="59">
        <f>'Exh 4'!E11/'Exh 7'!E11</f>
        <v>14.458851674641148</v>
      </c>
      <c r="F32" s="59">
        <f>'Exh 4'!F11/'Exh 7'!F11</f>
        <v>13.91024249004705</v>
      </c>
      <c r="G32" s="59">
        <f>'Exh 4'!G11/'Exh 7'!G11</f>
        <v>13.468197879858657</v>
      </c>
      <c r="H32" s="59">
        <f>'Exh 4'!H11/'Exh 7'!H11</f>
        <v>13.855886157826649</v>
      </c>
    </row>
    <row r="33" spans="1:8" s="11" customFormat="1" x14ac:dyDescent="0.2">
      <c r="B33" t="s">
        <v>90</v>
      </c>
      <c r="D33" s="59">
        <f>'Exh 4'!D11/'Exh 4'!D25</f>
        <v>43.446043165467628</v>
      </c>
      <c r="E33" s="59">
        <f>'Exh 4'!E11/'Exh 4'!E25</f>
        <v>64.432835820895519</v>
      </c>
      <c r="F33" s="59">
        <f>'Exh 4'!F11/'Exh 4'!F25</f>
        <v>65.475298126064729</v>
      </c>
      <c r="G33" s="59">
        <f>'Exh 4'!G11/'Exh 4'!G25</f>
        <v>54.776047904191614</v>
      </c>
      <c r="H33" s="59">
        <f>'Exh 4'!H11/'Exh 4'!H25</f>
        <v>58.209782608695654</v>
      </c>
    </row>
    <row r="34" spans="1:8" s="11" customFormat="1" x14ac:dyDescent="0.2">
      <c r="B34" t="s">
        <v>91</v>
      </c>
      <c r="D34" s="59">
        <f>'Exh 4'!D12/'Exh 4'!D26</f>
        <v>4.7451415880066632</v>
      </c>
      <c r="E34" s="59">
        <f>'Exh 4'!E12/'Exh 4'!E26</f>
        <v>4.9478220358723499</v>
      </c>
      <c r="F34" s="59">
        <f>'Exh 4'!F12/'Exh 4'!F26</f>
        <v>4.8387684459828746</v>
      </c>
      <c r="G34" s="59">
        <f>'Exh 4'!G12/'Exh 4'!G26</f>
        <v>4.7980475899938986</v>
      </c>
      <c r="H34" s="59">
        <f>'Exh 4'!H12/'Exh 4'!H26</f>
        <v>5.448624535315985</v>
      </c>
    </row>
    <row r="35" spans="1:8" s="11" customFormat="1" x14ac:dyDescent="0.2">
      <c r="B35" t="s">
        <v>92</v>
      </c>
      <c r="D35" s="59">
        <f>'Exh 4'!D11/'Exh 2'!D9</f>
        <v>38.71153846153846</v>
      </c>
      <c r="E35" s="59">
        <f>'Exh 4'!E11/'Exh 2'!E9</f>
        <v>39.709592641261501</v>
      </c>
      <c r="F35" s="59">
        <f>'Exh 4'!F11/'Exh 2'!F9</f>
        <v>41.326881720430109</v>
      </c>
      <c r="G35" s="59">
        <f>'Exh 4'!G11/'Exh 2'!G9</f>
        <v>40.333333333333336</v>
      </c>
      <c r="H35" s="59">
        <f>'Exh 4'!H11/'Exh 2'!H9</f>
        <v>40.174793698424608</v>
      </c>
    </row>
    <row r="36" spans="1:8" x14ac:dyDescent="0.2">
      <c r="A36" s="6"/>
      <c r="B36" t="s">
        <v>93</v>
      </c>
      <c r="D36" s="59">
        <f>'Exh 4'!D11/'Exh 2'!D10</f>
        <v>366</v>
      </c>
      <c r="E36" s="59">
        <f>'Exh 4'!E11/'Exh 2'!E10</f>
        <v>373.07407407407408</v>
      </c>
      <c r="F36" s="59">
        <f>'Exh 4'!F11/'Exh 2'!F10</f>
        <v>384.34</v>
      </c>
      <c r="G36" s="59">
        <f>'Exh 4'!G11/'Exh 2'!G10</f>
        <v>371.85365853658539</v>
      </c>
      <c r="H36" s="59">
        <f>'Exh 4'!H11/'Exh 2'!H10</f>
        <v>366.80136986301369</v>
      </c>
    </row>
    <row r="37" spans="1:8" s="12" customFormat="1" x14ac:dyDescent="0.2">
      <c r="B37" t="s">
        <v>94</v>
      </c>
      <c r="D37" s="59">
        <f>'Exh 4'!D11/'Exh 2'!D11</f>
        <v>43.92</v>
      </c>
      <c r="E37" s="59">
        <f>'Exh 4'!E11/'Exh 2'!E11</f>
        <v>45.442105263157892</v>
      </c>
      <c r="F37" s="59">
        <f>'Exh 4'!F11/'Exh 2'!F11</f>
        <v>48.223337515683816</v>
      </c>
      <c r="G37" s="59">
        <f>'Exh 4'!G11/'Exh 2'!G11</f>
        <v>48.813233724653145</v>
      </c>
      <c r="H37" s="59">
        <f>'Exh 4'!H11/'Exh 2'!H11</f>
        <v>49.086159486709441</v>
      </c>
    </row>
    <row r="38" spans="1:8" s="12" customFormat="1" x14ac:dyDescent="0.2"/>
    <row r="39" spans="1:8" s="9" customFormat="1" x14ac:dyDescent="0.2">
      <c r="A39" s="5" t="s">
        <v>42</v>
      </c>
      <c r="H39" s="10"/>
    </row>
    <row r="40" spans="1:8" s="13" customFormat="1" x14ac:dyDescent="0.2">
      <c r="B40" s="13" t="s">
        <v>43</v>
      </c>
      <c r="E40" s="13">
        <f>'Exh 4'!E11/'Exh 4'!D11-1</f>
        <v>0.25099354197714852</v>
      </c>
      <c r="F40" s="13">
        <f>'Exh 4'!F11/'Exh 4'!E11-1</f>
        <v>0.27184883682451444</v>
      </c>
      <c r="G40" s="13">
        <f>'Exh 4'!G11/'Exh 4'!F11-1</f>
        <v>0.19004006868918144</v>
      </c>
      <c r="H40" s="13">
        <f>'Exh 4'!H11/'Exh 4'!G11-1</f>
        <v>0.17086448904630713</v>
      </c>
    </row>
    <row r="41" spans="1:8" s="13" customFormat="1" x14ac:dyDescent="0.2">
      <c r="B41" s="13" t="s">
        <v>44</v>
      </c>
      <c r="E41" s="13">
        <f>E35/D35-1</f>
        <v>2.5781826798608076E-2</v>
      </c>
      <c r="F41" s="13">
        <f>F35/E35-1</f>
        <v>4.0727919165005844E-2</v>
      </c>
      <c r="G41" s="13">
        <f>G35/F35-1</f>
        <v>-2.4041213508872339E-2</v>
      </c>
      <c r="H41" s="13">
        <f>H35/G35-1</f>
        <v>-3.9307347498032108E-3</v>
      </c>
    </row>
    <row r="42" spans="1:8" s="13" customFormat="1" x14ac:dyDescent="0.2">
      <c r="B42" s="13" t="s">
        <v>45</v>
      </c>
      <c r="E42" s="13">
        <f>'Exh 2'!E9/'Exh 2'!D9-1</f>
        <v>0.21955128205128216</v>
      </c>
      <c r="F42" s="13">
        <f>'Exh 2'!F9/'Exh 2'!E9-1</f>
        <v>0.22207621550591328</v>
      </c>
      <c r="G42" s="13">
        <f>'Exh 2'!G9/'Exh 2'!F9-1</f>
        <v>0.21935483870967731</v>
      </c>
      <c r="H42" s="13">
        <f>'Exh 2'!H9/'Exh 2'!G9-1</f>
        <v>0.17548500881834217</v>
      </c>
    </row>
    <row r="43" spans="1:8" s="13" customFormat="1" x14ac:dyDescent="0.2">
      <c r="B43" s="13" t="s">
        <v>46</v>
      </c>
      <c r="E43" s="13">
        <f>('Exh 2'!E10/'Exh 2'!E9)/('Exh 2'!D10/'Exh 2'!D9)-1</f>
        <v>6.3313821526700398E-3</v>
      </c>
      <c r="F43" s="13">
        <f>('Exh 2'!F10/'Exh 2'!F9)/('Exh 2'!E10/'Exh 2'!E9)-1</f>
        <v>1.0221691225275498E-2</v>
      </c>
      <c r="G43" s="13">
        <f>('Exh 2'!G10/'Exh 2'!G9)/('Exh 2'!F10/'Exh 2'!F9)-1</f>
        <v>8.7301587301586991E-3</v>
      </c>
      <c r="H43" s="13">
        <f>('Exh 2'!H10/'Exh 2'!H9)/('Exh 2'!G10/'Exh 2'!G9)-1</f>
        <v>9.7890326240097636E-3</v>
      </c>
    </row>
    <row r="44" spans="1:8" s="13" customFormat="1" x14ac:dyDescent="0.2"/>
    <row r="45" spans="1:8" s="13" customFormat="1" x14ac:dyDescent="0.2">
      <c r="A45" s="52" t="s">
        <v>145</v>
      </c>
    </row>
    <row r="46" spans="1:8" s="12" customFormat="1" x14ac:dyDescent="0.2">
      <c r="B46" s="12" t="s">
        <v>146</v>
      </c>
      <c r="D46" s="53">
        <f>D13/'Exh 4'!D43</f>
        <v>1.2371090448013524</v>
      </c>
      <c r="E46" s="53">
        <f>E13/'Exh 4'!E43</f>
        <v>1.2153318077803204</v>
      </c>
      <c r="F46" s="53">
        <f>F13/'Exh 4'!F43</f>
        <v>1.0901871809415768</v>
      </c>
      <c r="G46" s="53">
        <f>G13/'Exh 4'!G43</f>
        <v>1.1332977872567316</v>
      </c>
      <c r="H46" s="53">
        <f>H13/'Exh 4'!H43</f>
        <v>1.100431368211481</v>
      </c>
    </row>
    <row r="48" spans="1:8" x14ac:dyDescent="0.2">
      <c r="A48" s="2" t="s">
        <v>154</v>
      </c>
    </row>
  </sheetData>
  <mergeCells count="1">
    <mergeCell ref="D8:H8"/>
  </mergeCells>
  <phoneticPr fontId="10" type="noConversion"/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workbookViewId="0"/>
  </sheetViews>
  <sheetFormatPr defaultRowHeight="12" customHeight="1" x14ac:dyDescent="0.2"/>
  <cols>
    <col min="1" max="1" width="4.1640625" style="2" customWidth="1"/>
    <col min="2" max="2" width="22.6640625" style="2" customWidth="1"/>
    <col min="3" max="3" width="5.33203125" style="2" customWidth="1"/>
    <col min="4" max="9" width="11.1640625" style="2" customWidth="1"/>
    <col min="10" max="10" width="11" style="2" bestFit="1" customWidth="1"/>
    <col min="11" max="11" width="14" style="2" customWidth="1"/>
    <col min="12" max="17" width="11" style="2" bestFit="1" customWidth="1"/>
    <col min="18" max="18" width="13.1640625" style="2" customWidth="1"/>
    <col min="19" max="19" width="14.1640625" style="2" customWidth="1"/>
    <col min="20" max="20" width="12.83203125" style="2" customWidth="1"/>
    <col min="21" max="21" width="12.6640625" style="2" customWidth="1"/>
    <col min="22" max="22" width="13.5" style="2" customWidth="1"/>
    <col min="23" max="23" width="12.83203125" style="2" customWidth="1"/>
    <col min="24" max="24" width="11" style="2" bestFit="1" customWidth="1"/>
    <col min="25" max="25" width="12.83203125" style="2" customWidth="1"/>
    <col min="26" max="26" width="11" style="2" bestFit="1" customWidth="1"/>
    <col min="27" max="27" width="12" style="2" customWidth="1"/>
    <col min="28" max="16384" width="9.33203125" style="2"/>
  </cols>
  <sheetData>
    <row r="1" spans="1:10" customFormat="1" ht="15.75" x14ac:dyDescent="0.25">
      <c r="D1" s="34" t="s">
        <v>100</v>
      </c>
    </row>
    <row r="2" spans="1:10" customFormat="1" ht="15.75" x14ac:dyDescent="0.25">
      <c r="D2" s="36"/>
    </row>
    <row r="3" spans="1:10" customFormat="1" ht="15.75" x14ac:dyDescent="0.25">
      <c r="D3" s="37" t="s">
        <v>149</v>
      </c>
    </row>
    <row r="4" spans="1:10" ht="12" customHeight="1" x14ac:dyDescent="0.2">
      <c r="A4" s="1"/>
      <c r="B4" s="3"/>
      <c r="C4" s="3"/>
      <c r="D4" s="4"/>
      <c r="F4" s="3"/>
      <c r="G4" s="3"/>
      <c r="H4" s="3"/>
      <c r="I4" s="3"/>
    </row>
    <row r="5" spans="1:10" ht="12" customHeight="1" x14ac:dyDescent="0.25">
      <c r="A5" s="1"/>
      <c r="B5" s="3"/>
      <c r="C5" s="3"/>
      <c r="D5" s="63" t="s">
        <v>155</v>
      </c>
      <c r="F5" s="3"/>
      <c r="G5" s="3"/>
      <c r="H5" s="3"/>
      <c r="I5" s="3"/>
    </row>
    <row r="6" spans="1:10" ht="12" customHeight="1" x14ac:dyDescent="0.25">
      <c r="A6" s="1"/>
      <c r="B6" s="3"/>
      <c r="C6" s="3"/>
      <c r="D6" s="64"/>
      <c r="F6" s="3"/>
      <c r="G6" s="3"/>
      <c r="H6" s="3"/>
      <c r="I6" s="3"/>
    </row>
    <row r="8" spans="1:10" ht="12" customHeight="1" x14ac:dyDescent="0.2">
      <c r="D8" s="99" t="s">
        <v>58</v>
      </c>
      <c r="E8" s="99"/>
      <c r="F8" s="99"/>
      <c r="G8" s="99"/>
      <c r="H8" s="99"/>
      <c r="I8" s="6"/>
    </row>
    <row r="9" spans="1:10" s="24" customFormat="1" ht="12" customHeight="1" x14ac:dyDescent="0.2">
      <c r="A9" s="28" t="s">
        <v>61</v>
      </c>
      <c r="D9" s="54">
        <v>2001</v>
      </c>
      <c r="E9" s="54" t="s">
        <v>53</v>
      </c>
      <c r="F9" s="54" t="s">
        <v>54</v>
      </c>
      <c r="G9" s="54" t="s">
        <v>55</v>
      </c>
      <c r="H9" s="54" t="s">
        <v>56</v>
      </c>
      <c r="I9" s="54" t="s">
        <v>57</v>
      </c>
    </row>
    <row r="10" spans="1:10" s="13" customFormat="1" ht="15" customHeight="1" x14ac:dyDescent="0.2">
      <c r="B10" s="13" t="s">
        <v>45</v>
      </c>
      <c r="D10" s="13">
        <f>'Exh 7'!H42</f>
        <v>0.17548500881834217</v>
      </c>
      <c r="E10" s="13">
        <f>1533/1333-1</f>
        <v>0.15003750937734428</v>
      </c>
      <c r="F10" s="13">
        <f>1735/1533-1</f>
        <v>0.13176777560339215</v>
      </c>
      <c r="G10" s="13">
        <v>0.09</v>
      </c>
      <c r="H10" s="13">
        <v>7.0000000000000007E-2</v>
      </c>
      <c r="I10" s="13">
        <v>5.5E-2</v>
      </c>
    </row>
    <row r="11" spans="1:10" s="13" customFormat="1" ht="12.75" x14ac:dyDescent="0.2">
      <c r="B11" s="13" t="s">
        <v>44</v>
      </c>
      <c r="D11" s="13">
        <f>'Exh 7'!H41</f>
        <v>-3.9307347498032108E-3</v>
      </c>
      <c r="E11" s="13">
        <v>0.03</v>
      </c>
      <c r="F11" s="13">
        <v>0.04</v>
      </c>
      <c r="G11" s="13">
        <v>8.3000000000000004E-2</v>
      </c>
      <c r="H11" s="13">
        <v>8.3000000000000004E-2</v>
      </c>
      <c r="I11" s="13">
        <v>8.3299999999999999E-2</v>
      </c>
    </row>
    <row r="12" spans="1:10" ht="12" customHeight="1" x14ac:dyDescent="0.2">
      <c r="B12" s="13" t="s">
        <v>43</v>
      </c>
      <c r="D12" s="25">
        <f>'Exh 7'!H40</f>
        <v>0.17086448904630713</v>
      </c>
      <c r="E12" s="25">
        <f>SUM(E10:E11)</f>
        <v>0.18003750937734428</v>
      </c>
      <c r="F12" s="25">
        <f>SUM(F10:F11)</f>
        <v>0.17176777560339215</v>
      </c>
      <c r="G12" s="25">
        <f>SUM(G10:G11)</f>
        <v>0.17299999999999999</v>
      </c>
      <c r="H12" s="25">
        <f>SUM(H10:H11)</f>
        <v>0.15300000000000002</v>
      </c>
      <c r="I12" s="25">
        <f>SUM(I10:I11)</f>
        <v>0.13830000000000001</v>
      </c>
    </row>
    <row r="13" spans="1:10" ht="6.75" customHeight="1" x14ac:dyDescent="0.2">
      <c r="D13" s="7"/>
      <c r="E13" s="7"/>
      <c r="F13" s="7"/>
      <c r="G13" s="7"/>
      <c r="H13" s="7"/>
      <c r="I13" s="7"/>
    </row>
    <row r="14" spans="1:10" s="25" customFormat="1" ht="12" customHeight="1" x14ac:dyDescent="0.2">
      <c r="B14" s="26" t="s">
        <v>35</v>
      </c>
      <c r="D14" s="25">
        <f>'Exh 7'!H22</f>
        <v>0.31578062853621647</v>
      </c>
      <c r="E14" s="25">
        <v>0.32</v>
      </c>
      <c r="F14" s="25">
        <v>0.32300000000000001</v>
      </c>
      <c r="G14" s="25">
        <v>0.32400000000000001</v>
      </c>
      <c r="H14" s="25">
        <v>0.32500000000000001</v>
      </c>
      <c r="I14" s="25">
        <v>0.32500000000000001</v>
      </c>
      <c r="J14" s="26"/>
    </row>
    <row r="15" spans="1:10" s="25" customFormat="1" ht="12" customHeight="1" x14ac:dyDescent="0.2">
      <c r="B15" s="13" t="s">
        <v>37</v>
      </c>
      <c r="D15" s="25">
        <f>'Exh 7'!H23</f>
        <v>0.20941870670177207</v>
      </c>
      <c r="E15" s="25">
        <v>0.21</v>
      </c>
      <c r="F15" s="25">
        <v>0.20699999999999999</v>
      </c>
      <c r="G15" s="25">
        <v>0.20799999999999999</v>
      </c>
      <c r="H15" s="25">
        <v>0.20499999999999999</v>
      </c>
      <c r="I15" s="25">
        <v>0.20499999999999999</v>
      </c>
    </row>
    <row r="16" spans="1:10" s="25" customFormat="1" ht="12" customHeight="1" x14ac:dyDescent="0.2">
      <c r="B16" s="13" t="s">
        <v>36</v>
      </c>
      <c r="D16" s="25">
        <f>'Exh 7'!H24</f>
        <v>1.4266240920209885E-2</v>
      </c>
      <c r="E16" s="25">
        <f>D16</f>
        <v>1.4266240920209885E-2</v>
      </c>
      <c r="F16" s="25">
        <f>E16</f>
        <v>1.4266240920209885E-2</v>
      </c>
      <c r="G16" s="25">
        <f>F16</f>
        <v>1.4266240920209885E-2</v>
      </c>
      <c r="H16" s="25">
        <f>G16</f>
        <v>1.4266240920209885E-2</v>
      </c>
      <c r="I16" s="25">
        <f>H16</f>
        <v>1.4266240920209885E-2</v>
      </c>
    </row>
    <row r="17" spans="1:11" s="25" customFormat="1" ht="12" customHeight="1" x14ac:dyDescent="0.2">
      <c r="B17" s="26" t="s">
        <v>59</v>
      </c>
      <c r="D17" s="25">
        <v>0.38600000000000001</v>
      </c>
      <c r="E17" s="25">
        <v>0.376</v>
      </c>
      <c r="F17" s="25">
        <v>0.375</v>
      </c>
      <c r="G17" s="25">
        <f>F17</f>
        <v>0.375</v>
      </c>
      <c r="H17" s="25">
        <f>G17</f>
        <v>0.375</v>
      </c>
      <c r="I17" s="25">
        <f>H17</f>
        <v>0.375</v>
      </c>
    </row>
    <row r="18" spans="1:11" s="25" customFormat="1" ht="7.5" customHeight="1" x14ac:dyDescent="0.2">
      <c r="B18" s="26"/>
    </row>
    <row r="19" spans="1:11" s="25" customFormat="1" ht="12" customHeight="1" x14ac:dyDescent="0.2">
      <c r="B19" t="s">
        <v>64</v>
      </c>
      <c r="D19" s="25">
        <f>'Exh 4'!H24/'Exh 4'!H11</f>
        <v>4.7541687673893156E-2</v>
      </c>
      <c r="E19" s="25">
        <v>0.05</v>
      </c>
      <c r="F19" s="25">
        <v>0.05</v>
      </c>
      <c r="G19" s="25">
        <v>5.0999999999999997E-2</v>
      </c>
      <c r="H19" s="25">
        <v>5.2999999999999999E-2</v>
      </c>
      <c r="I19" s="25">
        <v>5.2999999999999999E-2</v>
      </c>
    </row>
    <row r="20" spans="1:11" s="25" customFormat="1" ht="12" customHeight="1" x14ac:dyDescent="0.2">
      <c r="B20" t="s">
        <v>40</v>
      </c>
      <c r="D20" s="27">
        <f>'Exh 7'!H33</f>
        <v>58.209782608695654</v>
      </c>
      <c r="E20" s="27">
        <v>55</v>
      </c>
      <c r="F20" s="27">
        <v>53</v>
      </c>
      <c r="G20" s="27">
        <v>52</v>
      </c>
      <c r="H20" s="27">
        <v>50</v>
      </c>
      <c r="I20" s="27">
        <f>H20</f>
        <v>50</v>
      </c>
    </row>
    <row r="21" spans="1:11" s="25" customFormat="1" ht="12" customHeight="1" x14ac:dyDescent="0.2">
      <c r="B21" t="s">
        <v>41</v>
      </c>
      <c r="D21" s="27">
        <f>'Exh 7'!H34</f>
        <v>5.448624535315985</v>
      </c>
      <c r="E21" s="27">
        <v>5.26</v>
      </c>
      <c r="F21" s="27">
        <v>5.08</v>
      </c>
      <c r="G21" s="27">
        <v>5</v>
      </c>
      <c r="H21" s="27">
        <v>4.7</v>
      </c>
      <c r="I21" s="27">
        <v>4.7</v>
      </c>
    </row>
    <row r="22" spans="1:11" s="25" customFormat="1" ht="12" customHeight="1" x14ac:dyDescent="0.2">
      <c r="B22" t="s">
        <v>66</v>
      </c>
      <c r="D22" s="27">
        <f>'Exh 7'!H31</f>
        <v>3.4831219512195122</v>
      </c>
      <c r="E22" s="27">
        <v>3.3</v>
      </c>
      <c r="F22" s="27">
        <v>3.3</v>
      </c>
      <c r="G22" s="27">
        <v>3.3</v>
      </c>
      <c r="H22" s="27">
        <v>3.3</v>
      </c>
      <c r="I22" s="27">
        <v>3.3</v>
      </c>
      <c r="K22" s="60"/>
    </row>
    <row r="23" spans="1:11" s="25" customFormat="1" ht="12" customHeight="1" x14ac:dyDescent="0.2">
      <c r="B23" t="s">
        <v>65</v>
      </c>
      <c r="D23" s="25">
        <f>'Exh 4'!H33/'Exh 4'!H12</f>
        <v>9.3772174007969E-2</v>
      </c>
      <c r="E23" s="25">
        <f t="shared" ref="E23:I24" si="0">D23</f>
        <v>9.3772174007969E-2</v>
      </c>
      <c r="F23" s="25">
        <f t="shared" si="0"/>
        <v>9.3772174007969E-2</v>
      </c>
      <c r="G23" s="25">
        <f t="shared" si="0"/>
        <v>9.3772174007969E-2</v>
      </c>
      <c r="H23" s="25">
        <f t="shared" si="0"/>
        <v>9.3772174007969E-2</v>
      </c>
      <c r="I23" s="25">
        <f t="shared" si="0"/>
        <v>9.3772174007969E-2</v>
      </c>
    </row>
    <row r="24" spans="1:11" s="25" customFormat="1" ht="12" customHeight="1" x14ac:dyDescent="0.2">
      <c r="B24" s="9" t="s">
        <v>67</v>
      </c>
      <c r="D24" s="25">
        <f>'Exh 4'!H37/'Exh 4'!H11</f>
        <v>4.3751050361324297E-2</v>
      </c>
      <c r="E24" s="25">
        <f t="shared" si="0"/>
        <v>4.3751050361324297E-2</v>
      </c>
      <c r="F24" s="25">
        <f t="shared" si="0"/>
        <v>4.3751050361324297E-2</v>
      </c>
      <c r="G24" s="25">
        <f t="shared" si="0"/>
        <v>4.3751050361324297E-2</v>
      </c>
      <c r="H24" s="25">
        <f t="shared" si="0"/>
        <v>4.3751050361324297E-2</v>
      </c>
      <c r="I24" s="25">
        <f t="shared" si="0"/>
        <v>4.3751050361324297E-2</v>
      </c>
    </row>
    <row r="25" spans="1:11" ht="12" customHeight="1" x14ac:dyDescent="0.2">
      <c r="C25" s="8"/>
      <c r="D25" s="8"/>
      <c r="E25" s="8"/>
      <c r="F25" s="8"/>
      <c r="G25" s="8"/>
      <c r="H25" s="8"/>
      <c r="I25" s="8"/>
    </row>
    <row r="26" spans="1:11" ht="12" customHeight="1" x14ac:dyDescent="0.2">
      <c r="A26" s="5" t="s">
        <v>60</v>
      </c>
      <c r="C26" s="8"/>
    </row>
    <row r="27" spans="1:11" s="12" customFormat="1" ht="12" customHeight="1" x14ac:dyDescent="0.2">
      <c r="B27" s="9" t="s">
        <v>28</v>
      </c>
      <c r="D27" s="20">
        <v>1333</v>
      </c>
      <c r="E27" s="20">
        <f>D27*(1+E10)</f>
        <v>1533</v>
      </c>
      <c r="F27" s="20">
        <f>E27*(1+F10)</f>
        <v>1735.0000000000002</v>
      </c>
      <c r="G27" s="20">
        <f>F27*(1+G10)</f>
        <v>1891.1500000000003</v>
      </c>
      <c r="H27" s="20">
        <f>G27*(1+H10)</f>
        <v>2023.5305000000005</v>
      </c>
      <c r="I27" s="20">
        <f>H27*(1+I10)</f>
        <v>2134.8246775000002</v>
      </c>
    </row>
    <row r="28" spans="1:11" s="9" customFormat="1" ht="12" customHeight="1" x14ac:dyDescent="0.2">
      <c r="B28" s="9" t="s">
        <v>1</v>
      </c>
      <c r="D28" s="9">
        <f>'Exh 4'!H11</f>
        <v>53553</v>
      </c>
      <c r="E28" s="9">
        <f>D28*(1+E12)</f>
        <v>63194.54873968492</v>
      </c>
      <c r="F28" s="9">
        <f>E28*(1+F12)</f>
        <v>74049.335806960749</v>
      </c>
      <c r="G28" s="9">
        <f>F28*(1+G12)</f>
        <v>86859.870901564966</v>
      </c>
      <c r="H28" s="9">
        <f>G28*(1+H12)</f>
        <v>100149.43114950441</v>
      </c>
      <c r="I28" s="9">
        <f>H28*(1+I12)</f>
        <v>114000.09747748087</v>
      </c>
    </row>
    <row r="29" spans="1:11" s="9" customFormat="1" ht="12" customHeight="1" x14ac:dyDescent="0.2">
      <c r="B29" s="9" t="s">
        <v>2</v>
      </c>
      <c r="D29" s="10">
        <f>'Exh 4'!H12</f>
        <v>36642</v>
      </c>
      <c r="E29" s="10">
        <f>E28-E30</f>
        <v>42972.293142985742</v>
      </c>
      <c r="F29" s="10">
        <f>F28-F30</f>
        <v>50131.40034131243</v>
      </c>
      <c r="G29" s="10">
        <f>G28-G30</f>
        <v>58717.272729457916</v>
      </c>
      <c r="H29" s="10">
        <f>H28-H30</f>
        <v>67600.866025915471</v>
      </c>
      <c r="I29" s="10">
        <f>I28-I30</f>
        <v>76950.065797299583</v>
      </c>
    </row>
    <row r="30" spans="1:11" s="9" customFormat="1" ht="12" customHeight="1" x14ac:dyDescent="0.2">
      <c r="B30" s="9" t="s">
        <v>3</v>
      </c>
      <c r="D30" s="9">
        <f>D28-D29</f>
        <v>16911</v>
      </c>
      <c r="E30" s="9">
        <f>E14*E28</f>
        <v>20222.255596699175</v>
      </c>
      <c r="F30" s="9">
        <f>F14*F28</f>
        <v>23917.935465648323</v>
      </c>
      <c r="G30" s="9">
        <f>G14*G28</f>
        <v>28142.598172107049</v>
      </c>
      <c r="H30" s="9">
        <f>H14*H28</f>
        <v>32548.565123588935</v>
      </c>
      <c r="I30" s="9">
        <f>I14*I28</f>
        <v>37050.031680181288</v>
      </c>
      <c r="J30" s="13"/>
    </row>
    <row r="31" spans="1:11" s="9" customFormat="1" ht="12" customHeight="1" x14ac:dyDescent="0.2">
      <c r="B31" s="9" t="s">
        <v>62</v>
      </c>
      <c r="D31" s="9">
        <f>'Exh 4'!H14</f>
        <v>11215</v>
      </c>
      <c r="E31" s="9">
        <f>E28*E15</f>
        <v>13270.855235333833</v>
      </c>
      <c r="F31" s="9">
        <f>F28*F15</f>
        <v>15328.212512040875</v>
      </c>
      <c r="G31" s="9">
        <f>G28*G15</f>
        <v>18066.853147525511</v>
      </c>
      <c r="H31" s="9">
        <f>H28*H15</f>
        <v>20530.633385648402</v>
      </c>
      <c r="I31" s="9">
        <f>I28*I15</f>
        <v>23370.019982883576</v>
      </c>
    </row>
    <row r="32" spans="1:11" s="9" customFormat="1" ht="12" customHeight="1" x14ac:dyDescent="0.2">
      <c r="B32" s="9" t="s">
        <v>97</v>
      </c>
      <c r="D32" s="10">
        <f>'Exh 4'!H15</f>
        <v>764</v>
      </c>
      <c r="E32" s="10">
        <f>E28*E16</f>
        <v>901.54865716429106</v>
      </c>
      <c r="F32" s="10">
        <f>F28*F16</f>
        <v>1056.4056646036265</v>
      </c>
      <c r="G32" s="10">
        <f>G28*G16</f>
        <v>1239.163844580054</v>
      </c>
      <c r="H32" s="10">
        <f>H28*H16</f>
        <v>1428.7559128008024</v>
      </c>
      <c r="I32" s="10">
        <f>I28*I16</f>
        <v>1626.3528555411533</v>
      </c>
    </row>
    <row r="33" spans="2:10" s="9" customFormat="1" ht="12" customHeight="1" x14ac:dyDescent="0.2">
      <c r="B33" s="9" t="s">
        <v>5</v>
      </c>
      <c r="D33" s="9">
        <f t="shared" ref="D33:I33" si="1">D30-D31-D32</f>
        <v>4932</v>
      </c>
      <c r="E33" s="9">
        <f t="shared" si="1"/>
        <v>6049.8517042010508</v>
      </c>
      <c r="F33" s="9">
        <f t="shared" si="1"/>
        <v>7533.3172890038222</v>
      </c>
      <c r="G33" s="9">
        <f t="shared" si="1"/>
        <v>8836.5811800014835</v>
      </c>
      <c r="H33" s="9">
        <f t="shared" si="1"/>
        <v>10589.17582513973</v>
      </c>
      <c r="I33" s="9">
        <f t="shared" si="1"/>
        <v>12053.658841756558</v>
      </c>
    </row>
    <row r="34" spans="2:10" s="9" customFormat="1" ht="12" customHeight="1" x14ac:dyDescent="0.2">
      <c r="B34" s="9" t="s">
        <v>63</v>
      </c>
      <c r="D34" s="9">
        <f t="shared" ref="D34:I34" si="2">D33*(1-D17)</f>
        <v>3028.248</v>
      </c>
      <c r="E34" s="9">
        <f t="shared" si="2"/>
        <v>3775.1074634214556</v>
      </c>
      <c r="F34" s="9">
        <f t="shared" si="2"/>
        <v>4708.3233056273893</v>
      </c>
      <c r="G34" s="9">
        <f t="shared" si="2"/>
        <v>5522.8632375009274</v>
      </c>
      <c r="H34" s="9">
        <f t="shared" si="2"/>
        <v>6618.2348907123305</v>
      </c>
      <c r="I34" s="9">
        <f t="shared" si="2"/>
        <v>7533.5367760978488</v>
      </c>
    </row>
    <row r="35" spans="2:10" s="9" customFormat="1" ht="12" customHeight="1" x14ac:dyDescent="0.2"/>
    <row r="36" spans="2:10" s="9" customFormat="1" ht="12" customHeight="1" x14ac:dyDescent="0.2">
      <c r="B36" s="9" t="s">
        <v>10</v>
      </c>
      <c r="D36" s="20">
        <f>2477+69</f>
        <v>2546</v>
      </c>
      <c r="E36" s="20">
        <f>E28*E19</f>
        <v>3159.7274369842462</v>
      </c>
      <c r="F36" s="20">
        <f>F28*F19</f>
        <v>3702.4667903480376</v>
      </c>
      <c r="G36" s="20">
        <f>G28*G19</f>
        <v>4429.8534159798128</v>
      </c>
      <c r="H36" s="20">
        <f>H28*H19</f>
        <v>5307.919850923734</v>
      </c>
      <c r="I36" s="20">
        <f>I28*I19</f>
        <v>6042.005166306486</v>
      </c>
    </row>
    <row r="37" spans="2:10" s="9" customFormat="1" ht="12" customHeight="1" x14ac:dyDescent="0.2">
      <c r="B37" s="9" t="s">
        <v>11</v>
      </c>
      <c r="D37" s="20">
        <v>920</v>
      </c>
      <c r="E37" s="20">
        <f t="shared" ref="E37:I38" si="3">E28/E20</f>
        <v>1148.9917952669985</v>
      </c>
      <c r="F37" s="20">
        <f t="shared" si="3"/>
        <v>1397.1572793766179</v>
      </c>
      <c r="G37" s="20">
        <f t="shared" si="3"/>
        <v>1670.3821327224032</v>
      </c>
      <c r="H37" s="20">
        <f t="shared" si="3"/>
        <v>2002.9886229900883</v>
      </c>
      <c r="I37" s="20">
        <f t="shared" si="3"/>
        <v>2280.0019495496176</v>
      </c>
    </row>
    <row r="38" spans="2:10" s="9" customFormat="1" ht="12" customHeight="1" x14ac:dyDescent="0.2">
      <c r="B38" s="9" t="s">
        <v>12</v>
      </c>
      <c r="D38" s="20">
        <v>6725</v>
      </c>
      <c r="E38" s="20">
        <f t="shared" si="3"/>
        <v>8169.6374796550845</v>
      </c>
      <c r="F38" s="20">
        <f t="shared" si="3"/>
        <v>9868.3858939591391</v>
      </c>
      <c r="G38" s="20">
        <f t="shared" si="3"/>
        <v>11743.454545891584</v>
      </c>
      <c r="H38" s="20">
        <f t="shared" si="3"/>
        <v>14383.162984237333</v>
      </c>
      <c r="I38" s="20">
        <f t="shared" si="3"/>
        <v>16372.354424957357</v>
      </c>
    </row>
    <row r="39" spans="2:10" s="9" customFormat="1" ht="12" customHeight="1" x14ac:dyDescent="0.2">
      <c r="B39" s="9" t="s">
        <v>13</v>
      </c>
      <c r="D39" s="58">
        <v>170</v>
      </c>
      <c r="E39" s="58">
        <f>D39</f>
        <v>170</v>
      </c>
      <c r="F39" s="58">
        <f>E39</f>
        <v>170</v>
      </c>
      <c r="G39" s="58">
        <f>F39</f>
        <v>170</v>
      </c>
      <c r="H39" s="58">
        <f>G39</f>
        <v>170</v>
      </c>
      <c r="I39" s="58">
        <f>H39</f>
        <v>170</v>
      </c>
    </row>
    <row r="40" spans="2:10" s="9" customFormat="1" ht="12" customHeight="1" x14ac:dyDescent="0.2">
      <c r="B40" s="9" t="s">
        <v>14</v>
      </c>
      <c r="D40" s="20">
        <f t="shared" ref="D40:I40" si="4">SUM(D36:D39)</f>
        <v>10361</v>
      </c>
      <c r="E40" s="20">
        <f t="shared" si="4"/>
        <v>12648.35671190633</v>
      </c>
      <c r="F40" s="20">
        <f t="shared" si="4"/>
        <v>15138.009963683795</v>
      </c>
      <c r="G40" s="20">
        <f t="shared" si="4"/>
        <v>18013.6900945938</v>
      </c>
      <c r="H40" s="20">
        <f t="shared" si="4"/>
        <v>21864.071458151157</v>
      </c>
      <c r="I40" s="20">
        <f t="shared" si="4"/>
        <v>24864.361540813461</v>
      </c>
    </row>
    <row r="41" spans="2:10" s="9" customFormat="1" ht="12" customHeight="1" x14ac:dyDescent="0.2">
      <c r="B41" s="9" t="s">
        <v>18</v>
      </c>
      <c r="D41" s="20">
        <v>3436</v>
      </c>
      <c r="E41" s="20">
        <f>E29*E23</f>
        <v>4029.6053501255119</v>
      </c>
      <c r="F41" s="20">
        <f>F29*F23</f>
        <v>4700.9303960687057</v>
      </c>
      <c r="G41" s="20">
        <f>G29*G23</f>
        <v>5506.0463156601008</v>
      </c>
      <c r="H41" s="20">
        <f>H29*H23</f>
        <v>6339.0801720715453</v>
      </c>
      <c r="I41" s="20">
        <f>I29*I23</f>
        <v>7215.7749598690407</v>
      </c>
    </row>
    <row r="42" spans="2:10" ht="12" customHeight="1" x14ac:dyDescent="0.2">
      <c r="B42" s="9" t="s">
        <v>19</v>
      </c>
      <c r="D42" s="20">
        <v>717</v>
      </c>
      <c r="E42" s="20">
        <f>D42</f>
        <v>717</v>
      </c>
      <c r="F42" s="20">
        <f>E42</f>
        <v>717</v>
      </c>
      <c r="G42" s="20">
        <f>F42</f>
        <v>717</v>
      </c>
      <c r="H42" s="20">
        <f>G42</f>
        <v>717</v>
      </c>
      <c r="I42" s="20">
        <f>H42</f>
        <v>717</v>
      </c>
    </row>
    <row r="43" spans="2:10" ht="12" customHeight="1" x14ac:dyDescent="0.2">
      <c r="B43" s="9" t="s">
        <v>22</v>
      </c>
      <c r="D43" s="58">
        <f>6501-SUM(D41:D42)</f>
        <v>2348</v>
      </c>
      <c r="E43" s="58">
        <f>E28*E24</f>
        <v>2764.8278844711176</v>
      </c>
      <c r="F43" s="58">
        <f>F28*F24</f>
        <v>3239.7362201129545</v>
      </c>
      <c r="G43" s="58">
        <f>G28*G24</f>
        <v>3800.2105861924956</v>
      </c>
      <c r="H43" s="58">
        <f>H28*H24</f>
        <v>4381.6428058799474</v>
      </c>
      <c r="I43" s="58">
        <f>I28*I24</f>
        <v>4987.6240059331449</v>
      </c>
    </row>
    <row r="44" spans="2:10" s="12" customFormat="1" ht="12" customHeight="1" x14ac:dyDescent="0.2">
      <c r="B44" s="12" t="s">
        <v>148</v>
      </c>
      <c r="D44" s="20">
        <f t="shared" ref="D44:I44" si="5">SUM(D41:D43)</f>
        <v>6501</v>
      </c>
      <c r="E44" s="20">
        <f t="shared" si="5"/>
        <v>7511.4332345966295</v>
      </c>
      <c r="F44" s="20">
        <f t="shared" si="5"/>
        <v>8657.6666161816611</v>
      </c>
      <c r="G44" s="20">
        <f t="shared" si="5"/>
        <v>10023.256901852597</v>
      </c>
      <c r="H44" s="20">
        <f t="shared" si="5"/>
        <v>11437.722977951493</v>
      </c>
      <c r="I44" s="20">
        <f t="shared" si="5"/>
        <v>12920.398965802186</v>
      </c>
    </row>
    <row r="45" spans="2:10" s="12" customFormat="1" ht="12" customHeight="1" x14ac:dyDescent="0.2">
      <c r="B45" s="12" t="s">
        <v>68</v>
      </c>
      <c r="D45" s="20">
        <f t="shared" ref="D45:I45" si="6">D40-D44</f>
        <v>3860</v>
      </c>
      <c r="E45" s="20">
        <f t="shared" si="6"/>
        <v>5136.9234773097005</v>
      </c>
      <c r="F45" s="20">
        <f t="shared" si="6"/>
        <v>6480.3433475021338</v>
      </c>
      <c r="G45" s="20">
        <f t="shared" si="6"/>
        <v>7990.4331927412022</v>
      </c>
      <c r="H45" s="20">
        <f t="shared" si="6"/>
        <v>10426.348480199664</v>
      </c>
      <c r="I45" s="20">
        <f t="shared" si="6"/>
        <v>11943.962575011275</v>
      </c>
      <c r="J45" s="11"/>
    </row>
    <row r="46" spans="2:10" s="9" customFormat="1" ht="12" customHeight="1" x14ac:dyDescent="0.2">
      <c r="B46" s="9" t="s">
        <v>15</v>
      </c>
      <c r="D46" s="20">
        <v>15375</v>
      </c>
      <c r="E46" s="20">
        <f>E28/E22</f>
        <v>19149.863254449978</v>
      </c>
      <c r="F46" s="20">
        <f>F28/F22</f>
        <v>22439.192668775984</v>
      </c>
      <c r="G46" s="20">
        <f>G28/G22</f>
        <v>26321.173000474235</v>
      </c>
      <c r="H46" s="20">
        <f>H28/H22</f>
        <v>30348.312469546792</v>
      </c>
      <c r="I46" s="20">
        <f>I28/I22</f>
        <v>34545.484084085118</v>
      </c>
    </row>
    <row r="47" spans="2:10" s="9" customFormat="1" ht="12" customHeight="1" x14ac:dyDescent="0.2">
      <c r="B47" s="9" t="s">
        <v>16</v>
      </c>
      <c r="D47" s="58">
        <f>83+419+156</f>
        <v>658</v>
      </c>
      <c r="E47" s="58">
        <f>D47</f>
        <v>658</v>
      </c>
      <c r="F47" s="58">
        <f>E47</f>
        <v>658</v>
      </c>
      <c r="G47" s="58">
        <f>F47</f>
        <v>658</v>
      </c>
      <c r="H47" s="58">
        <f>G47</f>
        <v>658</v>
      </c>
      <c r="I47" s="58">
        <f>H47</f>
        <v>658</v>
      </c>
    </row>
    <row r="48" spans="2:10" ht="12" customHeight="1" x14ac:dyDescent="0.2">
      <c r="B48" s="12" t="s">
        <v>74</v>
      </c>
      <c r="D48" s="20">
        <f t="shared" ref="D48:I48" si="7">D45+D46+D47</f>
        <v>19893</v>
      </c>
      <c r="E48" s="20">
        <f t="shared" si="7"/>
        <v>24944.786731759679</v>
      </c>
      <c r="F48" s="20">
        <f t="shared" si="7"/>
        <v>29577.536016278118</v>
      </c>
      <c r="G48" s="20">
        <f t="shared" si="7"/>
        <v>34969.606193215441</v>
      </c>
      <c r="H48" s="20">
        <f t="shared" si="7"/>
        <v>41432.660949746452</v>
      </c>
      <c r="I48" s="20">
        <f t="shared" si="7"/>
        <v>47147.446659096393</v>
      </c>
    </row>
    <row r="49" spans="2:9" s="13" customFormat="1" ht="12.75" x14ac:dyDescent="0.2">
      <c r="B49" s="61" t="s">
        <v>147</v>
      </c>
      <c r="C49" s="61"/>
      <c r="D49" s="61">
        <f t="shared" ref="D49:I49" si="8">D34/D48</f>
        <v>0.15222681345196803</v>
      </c>
      <c r="E49" s="61">
        <f t="shared" si="8"/>
        <v>0.15133853434052383</v>
      </c>
      <c r="F49" s="61">
        <f t="shared" si="8"/>
        <v>0.15918578555820689</v>
      </c>
      <c r="G49" s="61">
        <f t="shared" si="8"/>
        <v>0.1579332408545234</v>
      </c>
      <c r="H49" s="61">
        <f t="shared" si="8"/>
        <v>0.15973472953473994</v>
      </c>
      <c r="I49" s="61">
        <f t="shared" si="8"/>
        <v>0.15978673947222899</v>
      </c>
    </row>
  </sheetData>
  <mergeCells count="1">
    <mergeCell ref="D8:H8"/>
  </mergeCells>
  <phoneticPr fontId="10" type="noConversion"/>
  <pageMargins left="0.75" right="0.75" top="0.56000000000000005" bottom="0.56000000000000005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88B602DD77EF48A07DCBF2B238F6DA" ma:contentTypeVersion="77" ma:contentTypeDescription="Create a new document." ma:contentTypeScope="" ma:versionID="6f65bd87b856f4c89742648cd51b8c59">
  <xsd:schema xmlns:xsd="http://www.w3.org/2001/XMLSchema" xmlns:p="http://schemas.microsoft.com/office/2006/metadata/properties" xmlns:ns2="82207545-987c-4df2-827d-742bde27eac5" xmlns:ns3="ec868678-deb6-48cf-896b-119bf5e2249b" targetNamespace="http://schemas.microsoft.com/office/2006/metadata/properties" ma:root="true" ma:fieldsID="a65ed7353f1cdfe266144dd599d14120" ns2:_="" ns3:_="">
    <xsd:import namespace="82207545-987c-4df2-827d-742bde27eac5"/>
    <xsd:import namespace="ec868678-deb6-48cf-896b-119bf5e2249b"/>
    <xsd:element name="properties">
      <xsd:complexType>
        <xsd:sequence>
          <xsd:element name="documentManagement">
            <xsd:complexType>
              <xsd:all>
                <xsd:element ref="ns2:PrimaryAuthor" minOccurs="0"/>
                <xsd:element ref="ns2:ApprovalState" minOccurs="0"/>
                <xsd:element ref="ns2:DateOfApproval" minOccurs="0"/>
                <xsd:element ref="ns2:CheckinCommentLine" minOccurs="0"/>
                <xsd:element ref="ns2:VersionModifierName" minOccurs="0"/>
                <xsd:element ref="ns2:DateInEditing" minOccurs="0"/>
                <xsd:element ref="ns2:DatePending" minOccurs="0"/>
                <xsd:element ref="ns2:MetadataLibrary" minOccurs="0"/>
                <xsd:element ref="ns2:MetadataID" minOccurs="0"/>
                <xsd:element ref="ns2:MetadataLibraryDisplayFormLink" minOccurs="0"/>
                <xsd:element ref="ns2:RejectionText" minOccurs="0"/>
                <xsd:element ref="ns3:Approver_x002a_" minOccurs="0"/>
                <xsd:element ref="ns3:Dashboard_x002a_" minOccurs="0"/>
                <xsd:element ref="ns3:DBP_x0020_Editor_x002a_" minOccurs="0"/>
                <xsd:element ref="ns3:Faculty_x0020_Sponsor_x002a_" minOccurs="0"/>
                <xsd:element ref="ns3:Metadata_x0020_Link_x0020_ID" minOccurs="0"/>
                <xsd:element ref="ns3:Metadata_x0020_Form_x0020_URL_x002a_" minOccurs="0"/>
                <xsd:element ref="ns3:Document_x0020_Type" minOccurs="0"/>
                <xsd:element ref="ns3:Subject_x0020_Are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82207545-987c-4df2-827d-742bde27eac5" elementFormDefault="qualified">
    <xsd:import namespace="http://schemas.microsoft.com/office/2006/documentManagement/types"/>
    <xsd:element name="PrimaryAuthor" ma:index="8" nillable="true" ma:displayName="Primary Author" ma:hidden="true" ma:internalName="PrimaryAuthor">
      <xsd:simpleType>
        <xsd:restriction base="dms:Text"/>
      </xsd:simpleType>
    </xsd:element>
    <xsd:element name="ApprovalState" ma:index="9" nillable="true" ma:displayName="Document Approval" ma:internalName="ApprovalState" ma:readOnly="true">
      <xsd:simpleType>
        <xsd:restriction base="dms:Text"/>
      </xsd:simpleType>
    </xsd:element>
    <xsd:element name="DateOfApproval" ma:index="10" nillable="true" ma:displayName="Date Approved" ma:internalName="DateOfApproval" ma:readOnly="true">
      <xsd:simpleType>
        <xsd:restriction base="dms:DateTime"/>
      </xsd:simpleType>
    </xsd:element>
    <xsd:element name="CheckinCommentLine" ma:index="11" nillable="true" ma:displayName="Comment Line" ma:internalName="CheckinCommentLine" ma:readOnly="true">
      <xsd:simpleType>
        <xsd:restriction base="dms:Text"/>
      </xsd:simpleType>
    </xsd:element>
    <xsd:element name="VersionModifierName" ma:index="12" nillable="true" ma:displayName="VM Name" ma:internalName="VersionModifierName" ma:readOnly="true">
      <xsd:simpleType>
        <xsd:restriction base="dms:Text"/>
      </xsd:simpleType>
    </xsd:element>
    <xsd:element name="DateInEditing" ma:index="13" nillable="true" ma:displayName="Date Editing Began" ma:internalName="DateInEditing" ma:readOnly="true">
      <xsd:simpleType>
        <xsd:restriction base="dms:DateTime"/>
      </xsd:simpleType>
    </xsd:element>
    <xsd:element name="DatePending" ma:index="14" nillable="true" ma:displayName="Date Approval Sent" ma:internalName="DatePending" ma:readOnly="true">
      <xsd:simpleType>
        <xsd:restriction base="dms:DateTime"/>
      </xsd:simpleType>
    </xsd:element>
    <xsd:element name="MetadataLibrary" ma:index="15" nillable="true" ma:displayName="Metadata Library" ma:hidden="true" ma:internalName="MetadataLibrary">
      <xsd:simpleType>
        <xsd:restriction base="dms:Text"/>
      </xsd:simpleType>
    </xsd:element>
    <xsd:element name="MetadataID" ma:index="16" nillable="true" ma:displayName="Metadata ID" ma:hidden="true" ma:internalName="MetadataID">
      <xsd:simpleType>
        <xsd:restriction base="dms:Text"/>
      </xsd:simpleType>
    </xsd:element>
    <xsd:element name="MetadataLibraryDisplayFormLink" ma:index="17" nillable="true" ma:displayName="Display Form Link" ma:hidden="true" ma:internalName="MetadataLibraryDisplayFormLink">
      <xsd:simpleType>
        <xsd:restriction base="dms:Text"/>
      </xsd:simpleType>
    </xsd:element>
    <xsd:element name="RejectionText" ma:index="18" nillable="true" ma:displayName="Rejection Text" ma:internalName="RejectionText" ma:readOnly="true">
      <xsd:simpleType>
        <xsd:restriction base="dms:Text"/>
      </xsd:simpleType>
    </xsd:element>
  </xsd:schema>
  <xsd:schema xmlns:xsd="http://www.w3.org/2001/XMLSchema" xmlns:dms="http://schemas.microsoft.com/office/2006/documentManagement/types" targetNamespace="ec868678-deb6-48cf-896b-119bf5e2249b" elementFormDefault="qualified">
    <xsd:import namespace="http://schemas.microsoft.com/office/2006/documentManagement/types"/>
    <xsd:element name="Approver_x002a_" ma:index="20" nillable="true" ma:displayName="Approver" ma:list="UserInfo" ma:internalName="Approver_x002A_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ashboard_x002a_" ma:index="21" nillable="true" ma:displayName="Dashboard" ma:format="Hyperlink" ma:internalName="Dashboard_x002A_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DBP_x0020_Editor_x002a_" ma:index="22" nillable="true" ma:displayName="DBP Editor" ma:list="UserInfo" ma:internalName="DBP_x0020_Editor_x002A_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Faculty_x0020_Sponsor_x002a_" ma:index="23" nillable="true" ma:displayName="Faculty Sponsor" ma:list="UserInfo" ma:internalName="Faculty_x0020_Sponsor_x002A_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tadata_x0020_Link_x0020_ID" ma:index="24" nillable="true" ma:displayName="File Identification Number" ma:internalName="Metadata_x0020_Link_x0020_ID" ma:readOnly="false">
      <xsd:simpleType>
        <xsd:restriction base="dms:Text">
          <xsd:maxLength value="255"/>
        </xsd:restriction>
      </xsd:simpleType>
    </xsd:element>
    <xsd:element name="Metadata_x0020_Form_x0020_URL_x002a_" ma:index="25" nillable="true" ma:displayName="Metadata Form URL" ma:format="Hyperlink" ma:internalName="Metadata_x0020_Form_x0020_URL_x002A_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Document_x0020_Type" ma:index="26" nillable="true" ma:displayName="Product Type" ma:format="Dropdown" ma:internalName="Document_x0020_Type" ma:readOnly="false">
      <xsd:simpleType>
        <xsd:restriction base="dms:Choice">
          <xsd:enumeration value="Case"/>
          <xsd:enumeration value="Technical Note"/>
          <xsd:enumeration value="Teaching Note"/>
          <xsd:enumeration value="Supplemental File"/>
          <xsd:enumeration value="Working Paper"/>
          <xsd:enumeration value="Book Chapter"/>
          <xsd:enumeration value="Multimedia Case"/>
          <xsd:enumeration value="Multimedia TN"/>
          <xsd:enumeration value="Simulation"/>
          <xsd:enumeration value="Simulation TN"/>
          <xsd:enumeration value="DCCP"/>
          <xsd:enumeration value="DVD Supplement"/>
          <xsd:enumeration value="VHS Supplement"/>
          <xsd:enumeration value="KIT"/>
          <xsd:enumeration value="Audio"/>
          <xsd:enumeration value="Book"/>
        </xsd:restriction>
      </xsd:simpleType>
    </xsd:element>
    <xsd:element name="Subject_x0020_Area" ma:index="27" nillable="true" ma:displayName="Subject Area" ma:format="Dropdown" ma:internalName="Subject_x0020_Area" ma:readOnly="false">
      <xsd:simpleType>
        <xsd:restriction base="dms:Choice">
          <xsd:enumeration value="Accounting and Control"/>
          <xsd:enumeration value="Business Communications"/>
          <xsd:enumeration value="Business Policy"/>
          <xsd:enumeration value="Computer-Information Technology"/>
          <xsd:enumeration value="Entrepreneurship and Innovation"/>
          <xsd:enumeration value="Ethics"/>
          <xsd:enumeration value="Finance"/>
          <xsd:enumeration value="General"/>
          <xsd:enumeration value="Global Economies and Markets"/>
          <xsd:enumeration value="Marketing"/>
          <xsd:enumeration value="Nonprofit Organizations"/>
          <xsd:enumeration value="Operations Management"/>
          <xsd:enumeration value="Organizational Behavior and Human Resources"/>
          <xsd:enumeration value="Pedagogy and Higher Administration"/>
          <xsd:enumeration value="Personal Assessment and Career Strategy"/>
          <xsd:enumeration value="Quantitative Analysis"/>
          <xsd:enumeration value="Strategy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tadataLibraryDisplayFormLink xmlns="82207545-987c-4df2-827d-742bde27eac5" xsi:nil="true"/>
    <Dashboard_x002a_ xmlns="ec868678-deb6-48cf-896b-119bf5e2249b">
      <Url xsi:nil="true"/>
      <Description xsi:nil="true"/>
    </Dashboard_x002a_>
    <Document_x0020_Type xmlns="ec868678-deb6-48cf-896b-119bf5e2249b">Supplemental File</Document_x0020_Type>
    <MetadataLibrary xmlns="82207545-987c-4df2-827d-742bde27eac5" xsi:nil="true"/>
    <Metadata_x0020_Form_x0020_URL_x002a_ xmlns="ec868678-deb6-48cf-896b-119bf5e2249b">
      <Url>http://cm3.darden.virginia.edu/CMO/Gold%20Metadata/DispFormMeta.aspx?ID=24746</Url>
      <Description>View Document Metadata</Description>
    </Metadata_x0020_Form_x0020_URL_x002a_>
    <Faculty_x0020_Sponsor_x002a_ xmlns="ec868678-deb6-48cf-896b-119bf5e2249b">
      <UserInfo>
        <DisplayName/>
        <AccountId>122</AccountId>
        <AccountType/>
      </UserInfo>
    </Faculty_x0020_Sponsor_x002a_>
    <DBP_x0020_Editor_x002a_ xmlns="ec868678-deb6-48cf-896b-119bf5e2249b">
      <UserInfo>
        <DisplayName/>
        <AccountId xsi:nil="true"/>
        <AccountType/>
      </UserInfo>
    </DBP_x0020_Editor_x002a_>
    <Metadata_x0020_Link_x0020_ID xmlns="ec868678-deb6-48cf-896b-119bf5e2249b">7909bfe1-64ab-44c9-b133-5f8d908da7f0</Metadata_x0020_Link_x0020_ID>
    <Subject_x0020_Area xmlns="ec868678-deb6-48cf-896b-119bf5e2249b">Finance</Subject_x0020_Area>
    <MetadataID xmlns="82207545-987c-4df2-827d-742bde27eac5" xsi:nil="true"/>
    <Approver_x002a_ xmlns="ec868678-deb6-48cf-896b-119bf5e2249b">
      <UserInfo>
        <DisplayName/>
        <AccountId xsi:nil="true"/>
        <AccountType/>
      </UserInfo>
    </Approver_x002a_>
    <PrimaryAuthor xmlns="82207545-987c-4df2-827d-742bde27eac5" xsi:nil="true"/>
  </documentManagement>
</p:properties>
</file>

<file path=customXml/itemProps1.xml><?xml version="1.0" encoding="utf-8"?>
<ds:datastoreItem xmlns:ds="http://schemas.openxmlformats.org/officeDocument/2006/customXml" ds:itemID="{C0207178-7CFE-432B-AA01-DA727A1A19AE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56F91313-05CA-47CF-B56A-CD250961A82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2EF3443-286C-4291-8F16-04A5C2BD12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207545-987c-4df2-827d-742bde27eac5"/>
    <ds:schemaRef ds:uri="ec868678-deb6-48cf-896b-119bf5e2249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4.xml><?xml version="1.0" encoding="utf-8"?>
<ds:datastoreItem xmlns:ds="http://schemas.openxmlformats.org/officeDocument/2006/customXml" ds:itemID="{841BF651-E3B2-46E3-9777-D54A8FDDBB07}">
  <ds:schemaRefs>
    <ds:schemaRef ds:uri="http://www.w3.org/XML/1998/namespace"/>
    <ds:schemaRef ds:uri="http://schemas.microsoft.com/office/2006/documentManagement/types"/>
    <ds:schemaRef ds:uri="ec868678-deb6-48cf-896b-119bf5e2249b"/>
    <ds:schemaRef ds:uri="http://purl.org/dc/terms/"/>
    <ds:schemaRef ds:uri="http://purl.org/dc/dcmitype/"/>
    <ds:schemaRef ds:uri="http://purl.org/dc/elements/1.1/"/>
    <ds:schemaRef ds:uri="http://schemas.openxmlformats.org/package/2006/metadata/core-properties"/>
    <ds:schemaRef ds:uri="82207545-987c-4df2-827d-742bde27eac5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Model Facts</vt:lpstr>
      <vt:lpstr>Exh 1</vt:lpstr>
      <vt:lpstr>Exh 2</vt:lpstr>
      <vt:lpstr>Exh 3</vt:lpstr>
      <vt:lpstr>Exh 4</vt:lpstr>
      <vt:lpstr>Exh 5</vt:lpstr>
      <vt:lpstr>Exh 6</vt:lpstr>
      <vt:lpstr>Exh 7</vt:lpstr>
      <vt:lpstr>Exh 8</vt:lpstr>
      <vt:lpstr>Exh TN1</vt:lpstr>
      <vt:lpstr>Exh TN2</vt:lpstr>
      <vt:lpstr>Exh TN3</vt:lpstr>
      <vt:lpstr>Exh TN4</vt:lpstr>
    </vt:vector>
  </TitlesOfParts>
  <Company>UVA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Value Line Publishing, October 2002 (SPREADSHEET TN)</dc:title>
  <dc:creator>Michael Schill</dc:creator>
  <cp:lastModifiedBy>naganathan.ramasamy</cp:lastModifiedBy>
  <cp:lastPrinted>2003-11-12T21:04:46Z</cp:lastPrinted>
  <dcterms:created xsi:type="dcterms:W3CDTF">2002-09-23T15:30:41Z</dcterms:created>
  <dcterms:modified xsi:type="dcterms:W3CDTF">2013-03-21T12:27:17Z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ew or Revision?">
    <vt:lpwstr>Revision</vt:lpwstr>
  </property>
  <property fmtid="{D5CDD505-2E9C-101B-9397-08002B2CF9AE}" pid="3" name="Modified temp">
    <vt:lpwstr>2010-04-27T11:46:28Z</vt:lpwstr>
  </property>
  <property fmtid="{D5CDD505-2E9C-101B-9397-08002B2CF9AE}" pid="4" name="display_urn:schemas-microsoft-com:office:office#Modified_x0020_By_x0020_Temp">
    <vt:lpwstr>Woods, Elizabeth (Beth)</vt:lpwstr>
  </property>
  <property fmtid="{D5CDD505-2E9C-101B-9397-08002B2CF9AE}" pid="5" name="Order">
    <vt:lpwstr>2244700.00000000</vt:lpwstr>
  </property>
  <property fmtid="{D5CDD505-2E9C-101B-9397-08002B2CF9AE}" pid="6" name="Modified By Temp">
    <vt:lpwstr>20</vt:lpwstr>
  </property>
  <property fmtid="{D5CDD505-2E9C-101B-9397-08002B2CF9AE}" pid="7" name="WorkflowCreationPath">
    <vt:lpwstr>b6d7353f-e61b-4a14-aef8-2815d0633212,15;b6d7353f-e61b-4a14-aef8-2815d0633212,15;</vt:lpwstr>
  </property>
  <property fmtid="{D5CDD505-2E9C-101B-9397-08002B2CF9AE}" pid="8" name="display_urn:schemas-microsoft-com:office:office#Faculty_x0020_Sponsor_x002A_">
    <vt:lpwstr>Schill, Michael</vt:lpwstr>
  </property>
  <property fmtid="{D5CDD505-2E9C-101B-9397-08002B2CF9AE}" pid="9" name="Subject">
    <vt:lpwstr/>
  </property>
  <property fmtid="{D5CDD505-2E9C-101B-9397-08002B2CF9AE}" pid="10" name="Keywords">
    <vt:lpwstr/>
  </property>
  <property fmtid="{D5CDD505-2E9C-101B-9397-08002B2CF9AE}" pid="11" name="_Author">
    <vt:lpwstr>Michael Schill</vt:lpwstr>
  </property>
  <property fmtid="{D5CDD505-2E9C-101B-9397-08002B2CF9AE}" pid="12" name="_Category">
    <vt:lpwstr/>
  </property>
  <property fmtid="{D5CDD505-2E9C-101B-9397-08002B2CF9AE}" pid="13" name="Categories">
    <vt:lpwstr/>
  </property>
  <property fmtid="{D5CDD505-2E9C-101B-9397-08002B2CF9AE}" pid="14" name="Approval Level">
    <vt:lpwstr/>
  </property>
  <property fmtid="{D5CDD505-2E9C-101B-9397-08002B2CF9AE}" pid="15" name="_Comments">
    <vt:lpwstr/>
  </property>
  <property fmtid="{D5CDD505-2E9C-101B-9397-08002B2CF9AE}" pid="16" name="Assigned To">
    <vt:lpwstr/>
  </property>
  <property fmtid="{D5CDD505-2E9C-101B-9397-08002B2CF9AE}" pid="17" name="ContentType">
    <vt:lpwstr>Document</vt:lpwstr>
  </property>
  <property fmtid="{D5CDD505-2E9C-101B-9397-08002B2CF9AE}" pid="18" name="display_urn:schemas-microsoft-com:office:office#Editor">
    <vt:lpwstr>Woods, Elizabeth (Beth)</vt:lpwstr>
  </property>
  <property fmtid="{D5CDD505-2E9C-101B-9397-08002B2CF9AE}" pid="19" name="display_urn:schemas-microsoft-com:office:office#Author">
    <vt:lpwstr>Woods, Elizabeth (Beth)</vt:lpwstr>
  </property>
</Properties>
</file>