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_STDS_DG19E059A2" sheetId="4" state="hidden" r:id="rId2"/>
    <sheet name="Histogram of Age" sheetId="5" r:id="rId3"/>
    <sheet name="One Var Summary" sheetId="6" r:id="rId4"/>
  </sheets>
  <definedNames>
    <definedName name="PalisadeReportWorksheetCreatedBy" localSheetId="2" hidden="1">"StatTools"</definedName>
    <definedName name="PalisadeReportWorksheetCreatedBy" localSheetId="3" hidden="1">"StatTools"</definedName>
    <definedName name="ST_Age">Data!$C$2:$C$205</definedName>
    <definedName name="ST_AnnualSalary">Data!$G$2:$G$205</definedName>
    <definedName name="ST_BetaExperience">Data!$E$2:$E$205</definedName>
    <definedName name="ST_Education">Data!$F$2:$F$205</definedName>
    <definedName name="ST_Employee">Data!$A$2:$A$205</definedName>
    <definedName name="ST_Gender">Data!$B$2:$B$205</definedName>
    <definedName name="ST_PriorExperience">Data!$D$2:$D$205</definedName>
    <definedName name="StatToolsHeader" localSheetId="2">'Histogram of Age'!$1:$5</definedName>
    <definedName name="StatToolsHeader" localSheetId="3">'One Var Summary'!$1:$5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"U_x0001_VG33FD9087380240CB_x0001_"</definedName>
    <definedName name="STWBD_StatToolsHistogram_VarSelectorDefaultDataSet" hidden="1">"DG19E059A2"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5</definedName>
    <definedName name="STWBD_StatToolsOneVarSummary_VariableList_1" hidden="1">"U_x0001_VG36088626A62EFD6_x0001_"</definedName>
    <definedName name="STWBD_StatToolsOneVarSummary_VariableList_2" hidden="1">"U_x0001_VG20D300A630E00FF4_x0001_"</definedName>
    <definedName name="STWBD_StatToolsOneVarSummary_VariableList_3" hidden="1">"U_x0001_VG394AB3368A84DE_x0001_"</definedName>
    <definedName name="STWBD_StatToolsOneVarSummary_VariableList_4" hidden="1">"U_x0001_VG1CAA240330F86D05_x0001_"</definedName>
    <definedName name="STWBD_StatToolsOneVarSummary_VariableList_5" hidden="1">"U_x0001_VG33FD9087380240CB_x0001_"</definedName>
    <definedName name="STWBD_StatToolsOneVarSummary_Variance" hidden="1">"FALSE"</definedName>
    <definedName name="STWBD_StatToolsOneVarSummary_VarSelectorDefaultDataSet" hidden="1">"DG19E059A2"</definedName>
  </definedNames>
  <calcPr calcId="152511" iterate="1"/>
</workbook>
</file>

<file path=xl/calcChain.xml><?xml version="1.0" encoding="utf-8"?>
<calcChain xmlns="http://schemas.openxmlformats.org/spreadsheetml/2006/main">
  <c r="D40" i="6" l="1"/>
  <c r="D39" i="6"/>
  <c r="D38" i="6"/>
  <c r="D37" i="6"/>
  <c r="D36" i="6"/>
  <c r="D35" i="6"/>
  <c r="D34" i="6"/>
  <c r="D33" i="6"/>
  <c r="D32" i="6"/>
  <c r="B9" i="4"/>
  <c r="J2" i="2"/>
  <c r="D17" i="5"/>
  <c r="D16" i="5"/>
  <c r="D15" i="5"/>
  <c r="D14" i="5"/>
  <c r="D13" i="5"/>
  <c r="D12" i="5"/>
  <c r="D11" i="5"/>
  <c r="D10" i="5"/>
  <c r="D9" i="5"/>
  <c r="B31" i="4"/>
  <c r="B28" i="4"/>
  <c r="B25" i="4"/>
  <c r="B22" i="4"/>
  <c r="B19" i="4"/>
  <c r="B16" i="4"/>
  <c r="B13" i="4"/>
  <c r="B7" i="4"/>
  <c r="B3" i="4"/>
  <c r="C13" i="6"/>
  <c r="D14" i="6"/>
  <c r="C10" i="6"/>
  <c r="E13" i="5"/>
  <c r="B10" i="6"/>
  <c r="C15" i="6"/>
  <c r="D16" i="6"/>
  <c r="C9" i="6"/>
  <c r="B11" i="6"/>
  <c r="E16" i="6"/>
  <c r="E15" i="5"/>
  <c r="F13" i="6"/>
  <c r="B12" i="6"/>
  <c r="E34" i="6"/>
  <c r="B15" i="6"/>
  <c r="E17" i="5"/>
  <c r="E32" i="6"/>
  <c r="D11" i="6"/>
  <c r="E14" i="6"/>
  <c r="E16" i="5"/>
  <c r="D13" i="6"/>
  <c r="E10" i="6"/>
  <c r="D9" i="6"/>
  <c r="F10" i="6"/>
  <c r="B16" i="6"/>
  <c r="E40" i="6"/>
  <c r="E37" i="6"/>
  <c r="F9" i="6"/>
  <c r="D15" i="6"/>
  <c r="E14" i="5"/>
  <c r="E11" i="5"/>
  <c r="D12" i="6"/>
  <c r="E13" i="6"/>
  <c r="E9" i="5"/>
  <c r="B13" i="6"/>
  <c r="E33" i="6"/>
  <c r="E11" i="6"/>
  <c r="C16" i="6"/>
  <c r="C14" i="6"/>
  <c r="B9" i="6"/>
  <c r="E39" i="6"/>
  <c r="E35" i="6"/>
  <c r="F14" i="6"/>
  <c r="E10" i="5"/>
  <c r="C12" i="6"/>
  <c r="E12" i="5"/>
  <c r="D10" i="6"/>
  <c r="E36" i="6"/>
  <c r="F16" i="6"/>
  <c r="E9" i="6"/>
  <c r="E12" i="6"/>
  <c r="C11" i="6"/>
  <c r="B14" i="6"/>
  <c r="F12" i="6"/>
  <c r="E15" i="6"/>
  <c r="E38" i="6"/>
  <c r="F11" i="6"/>
  <c r="F15" i="6"/>
  <c r="D23" i="6" l="1"/>
  <c r="D24" i="6"/>
  <c r="D19" i="6"/>
  <c r="D21" i="6"/>
  <c r="D22" i="6"/>
  <c r="D20" i="6"/>
  <c r="F36" i="6"/>
  <c r="F9" i="5"/>
  <c r="F38" i="6"/>
  <c r="F15" i="5"/>
  <c r="F32" i="6"/>
  <c r="F10" i="5"/>
  <c r="F37" i="6"/>
  <c r="F11" i="5"/>
  <c r="F39" i="6"/>
  <c r="F33" i="6"/>
  <c r="F40" i="6"/>
  <c r="F13" i="5"/>
  <c r="F12" i="5"/>
  <c r="F14" i="5"/>
  <c r="F35" i="6"/>
  <c r="F17" i="5"/>
  <c r="F16" i="5"/>
  <c r="F34" i="6"/>
  <c r="D27" i="6" l="1"/>
  <c r="D26" i="6"/>
  <c r="D28" i="6"/>
  <c r="G34" i="6"/>
  <c r="G39" i="6"/>
  <c r="G37" i="6"/>
  <c r="G35" i="6"/>
  <c r="G32" i="6"/>
  <c r="G40" i="6"/>
  <c r="G38" i="6"/>
  <c r="G36" i="6"/>
  <c r="G33" i="6"/>
  <c r="G13" i="5"/>
  <c r="G17" i="5"/>
  <c r="G15" i="5"/>
  <c r="G12" i="5"/>
  <c r="G9" i="5"/>
  <c r="G10" i="5"/>
  <c r="G16" i="5"/>
  <c r="G14" i="5"/>
  <c r="G11" i="5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A31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<sst xmlns="http://schemas.openxmlformats.org/spreadsheetml/2006/main" count="157" uniqueCount="120">
  <si>
    <t>Gender</t>
  </si>
  <si>
    <t>Age</t>
  </si>
  <si>
    <t>Education</t>
  </si>
  <si>
    <t>Employee</t>
  </si>
  <si>
    <t>Prior Experience</t>
  </si>
  <si>
    <t>Beta Experience</t>
  </si>
  <si>
    <t>Annual Salary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</si>
  <si>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</si>
  <si>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</si>
  <si>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</si>
  <si>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</si>
  <si>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</si>
  <si>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</si>
  <si>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</si>
  <si>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</si>
  <si>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</si>
  <si>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</si>
  <si>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</si>
  <si>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</si>
  <si>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DG19E059A2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</si>
  <si>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</si>
  <si>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</si>
  <si>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</si>
  <si>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</si>
  <si>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</si>
  <si>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</si>
  <si>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</si>
  <si>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</si>
  <si>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</si>
  <si>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</si>
  <si>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VG2CFA183E16D0817A</t>
  </si>
  <si>
    <t>var1</t>
  </si>
  <si>
    <t>ST_Employee</t>
  </si>
  <si>
    <t>1 : Ranges</t>
  </si>
  <si>
    <t>1 : MultiRefs</t>
  </si>
  <si>
    <t>2 : Info</t>
  </si>
  <si>
    <t>VG18DCC17C1D7F83B6</t>
  </si>
  <si>
    <t>var2</t>
  </si>
  <si>
    <t>ST_Gender</t>
  </si>
  <si>
    <t>2 : Ranges</t>
  </si>
  <si>
    <t>2 : MultiRefs</t>
  </si>
  <si>
    <t>3 : Info</t>
  </si>
  <si>
    <t>VG36088626A62EFD6</t>
  </si>
  <si>
    <t>var3</t>
  </si>
  <si>
    <t>ST_Age</t>
  </si>
  <si>
    <t>3 : Ranges</t>
  </si>
  <si>
    <t>3 : MultiRefs</t>
  </si>
  <si>
    <t>4 : Info</t>
  </si>
  <si>
    <t>VG20D300A630E00FF4</t>
  </si>
  <si>
    <t>var4</t>
  </si>
  <si>
    <t>ST_PriorExperience</t>
  </si>
  <si>
    <t>4 : Ranges</t>
  </si>
  <si>
    <t>4 : MultiRefs</t>
  </si>
  <si>
    <t>5 : Info</t>
  </si>
  <si>
    <t>VG394AB3368A84DE</t>
  </si>
  <si>
    <t>var5</t>
  </si>
  <si>
    <t>ST_BetaExperience</t>
  </si>
  <si>
    <t>5 : Ranges</t>
  </si>
  <si>
    <t>5 : MultiRefs</t>
  </si>
  <si>
    <t>6 : Info</t>
  </si>
  <si>
    <t>VG1CAA240330F86D05</t>
  </si>
  <si>
    <t>var6</t>
  </si>
  <si>
    <t>ST_Education</t>
  </si>
  <si>
    <t>6 : Ranges</t>
  </si>
  <si>
    <t>6 : MultiRefs</t>
  </si>
  <si>
    <t>7 : Info</t>
  </si>
  <si>
    <t>VG33FD9087380240CB</t>
  </si>
  <si>
    <t>var7</t>
  </si>
  <si>
    <t>ST_AnnualSalary</t>
  </si>
  <si>
    <t>7 : Ranges</t>
  </si>
  <si>
    <t>7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</si>
  <si>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</si>
  <si>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</si>
  <si>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</si>
  <si>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</si>
  <si>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</si>
  <si>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</si>
  <si>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</si>
  <si>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</si>
  <si>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</si>
  <si>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</si>
  <si>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</si>
  <si>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</si>
  <si>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</si>
  <si>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</si>
  <si>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</si>
  <si>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Age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</si>
  <si>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</si>
  <si>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</si>
  <si>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</si>
  <si>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</si>
  <si>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</si>
  <si>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</si>
  <si>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</si>
  <si>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</si>
  <si>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</si>
  <si>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Part c</t>
  </si>
  <si>
    <t>Proportion female</t>
  </si>
  <si>
    <t>One Variable Summary</t>
  </si>
  <si>
    <t>Mean</t>
  </si>
  <si>
    <t>Std. Dev.</t>
  </si>
  <si>
    <t>Median</t>
  </si>
  <si>
    <t>Minimum</t>
  </si>
  <si>
    <t>Maximum</t>
  </si>
  <si>
    <t>Count</t>
  </si>
  <si>
    <t>1st Quartile</t>
  </si>
  <si>
    <t>3rd Quartile</t>
  </si>
  <si>
    <t>Mean-2Stdev</t>
  </si>
  <si>
    <t>Mean-Stdev</t>
  </si>
  <si>
    <t>Mean+Stdev</t>
  </si>
  <si>
    <t>Mean+2Stdev</t>
  </si>
  <si>
    <t>Mean+3Stdev</t>
  </si>
  <si>
    <t>Mean-3Stdev</t>
  </si>
  <si>
    <t>First rule</t>
  </si>
  <si>
    <t>Second rule</t>
  </si>
  <si>
    <t>Third rule</t>
  </si>
  <si>
    <t>Annual Salary / Data Set #1</t>
  </si>
  <si>
    <t>Part e: Checking empirical rule for Salary</t>
  </si>
  <si>
    <t>Part d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</si>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</sst>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"/>
    <numFmt numFmtId="166" formatCode="0.0%"/>
    <numFmt numFmtId="167" formatCode="0.0"/>
    <numFmt numFmtId="168" formatCode="0.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0" fillId="2" borderId="0" xfId="0" applyFont="1" applyFill="1"/>
    <xf numFmtId="0" fontId="10" fillId="2" borderId="1" xfId="0" applyFont="1" applyFill="1" applyBorder="1"/>
    <xf numFmtId="0" fontId="12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11" fillId="2" borderId="1" xfId="0" applyFont="1" applyFill="1" applyBorder="1" applyAlignment="1">
      <alignment horizontal="right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1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49" fontId="13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5" fillId="0" borderId="0" xfId="2" applyNumberFormat="1" applyFont="1"/>
    <xf numFmtId="49" fontId="11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7" fontId="0" fillId="0" borderId="0" xfId="0" applyNumberFormat="1"/>
    <xf numFmtId="10" fontId="0" fillId="0" borderId="0" xfId="2" applyNumberFormat="1" applyFont="1"/>
    <xf numFmtId="168" fontId="0" fillId="0" borderId="0" xfId="0" applyNumberFormat="1" applyAlignment="1">
      <alignment horizontal="center"/>
    </xf>
    <xf numFmtId="0" fontId="9" fillId="0" borderId="0" xfId="0" applyFont="1"/>
    <xf numFmtId="49" fontId="11" fillId="0" borderId="0" xfId="0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Age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'Histogram of Age'!$D$9:$D$17</c:f>
              <c:numCache>
                <c:formatCode>0.00</c:formatCode>
                <c:ptCount val="9"/>
                <c:pt idx="0">
                  <c:v>20.61111111</c:v>
                </c:pt>
                <c:pt idx="1">
                  <c:v>25.833333330000002</c:v>
                </c:pt>
                <c:pt idx="2">
                  <c:v>31.055555554999998</c:v>
                </c:pt>
                <c:pt idx="3">
                  <c:v>36.277777779999994</c:v>
                </c:pt>
                <c:pt idx="4">
                  <c:v>41.5</c:v>
                </c:pt>
                <c:pt idx="5">
                  <c:v>46.722222220000006</c:v>
                </c:pt>
                <c:pt idx="6">
                  <c:v>51.944444445000002</c:v>
                </c:pt>
                <c:pt idx="7">
                  <c:v>57.166666669999998</c:v>
                </c:pt>
                <c:pt idx="8">
                  <c:v>62.388888890000004</c:v>
                </c:pt>
              </c:numCache>
            </c:numRef>
          </c:cat>
          <c:val>
            <c:numRef>
              <c:f>'Histogram of Age'!$E$9:$E$17</c:f>
              <c:numCache>
                <c:formatCode>General</c:formatCode>
                <c:ptCount val="9"/>
                <c:pt idx="0">
                  <c:v>13</c:v>
                </c:pt>
                <c:pt idx="1">
                  <c:v>21</c:v>
                </c:pt>
                <c:pt idx="2">
                  <c:v>38</c:v>
                </c:pt>
                <c:pt idx="3">
                  <c:v>27</c:v>
                </c:pt>
                <c:pt idx="4">
                  <c:v>34</c:v>
                </c:pt>
                <c:pt idx="5">
                  <c:v>33</c:v>
                </c:pt>
                <c:pt idx="6">
                  <c:v>18</c:v>
                </c:pt>
                <c:pt idx="7">
                  <c:v>10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9976"/>
        <c:axId val="487306840"/>
      </c:barChart>
      <c:catAx>
        <c:axId val="48730997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6840"/>
        <c:crosses val="autoZero"/>
        <c:auto val="1"/>
        <c:lblAlgn val="ctr"/>
        <c:lblOffset val="100"/>
        <c:noMultiLvlLbl val="0"/>
      </c:catAx>
      <c:valAx>
        <c:axId val="4873068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997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Annual Salary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'One Var Summary'!$D$32:$D$40</c:f>
              <c:numCache>
                <c:formatCode>0.00</c:formatCode>
                <c:ptCount val="9"/>
                <c:pt idx="0">
                  <c:v>20816.666666664998</c:v>
                </c:pt>
                <c:pt idx="1">
                  <c:v>37650</c:v>
                </c:pt>
                <c:pt idx="2">
                  <c:v>54483.333333335002</c:v>
                </c:pt>
                <c:pt idx="3">
                  <c:v>71316.666666664998</c:v>
                </c:pt>
                <c:pt idx="4">
                  <c:v>88150</c:v>
                </c:pt>
                <c:pt idx="5">
                  <c:v>104983.333333335</c:v>
                </c:pt>
                <c:pt idx="6">
                  <c:v>121816.666666665</c:v>
                </c:pt>
                <c:pt idx="7">
                  <c:v>138650</c:v>
                </c:pt>
                <c:pt idx="8">
                  <c:v>155483.333333335</c:v>
                </c:pt>
              </c:numCache>
            </c:numRef>
          </c:cat>
          <c:val>
            <c:numRef>
              <c:f>'One Var Summary'!$E$32:$E$40</c:f>
              <c:numCache>
                <c:formatCode>General</c:formatCode>
                <c:ptCount val="9"/>
                <c:pt idx="0">
                  <c:v>15</c:v>
                </c:pt>
                <c:pt idx="1">
                  <c:v>29</c:v>
                </c:pt>
                <c:pt idx="2">
                  <c:v>42</c:v>
                </c:pt>
                <c:pt idx="3">
                  <c:v>50</c:v>
                </c:pt>
                <c:pt idx="4">
                  <c:v>30</c:v>
                </c:pt>
                <c:pt idx="5">
                  <c:v>17</c:v>
                </c:pt>
                <c:pt idx="6">
                  <c:v>11</c:v>
                </c:pt>
                <c:pt idx="7">
                  <c:v>8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8408"/>
        <c:axId val="487307232"/>
      </c:barChart>
      <c:catAx>
        <c:axId val="487308408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7232"/>
        <c:crosses val="autoZero"/>
        <c:auto val="1"/>
        <c:lblAlgn val="ctr"/>
        <c:lblOffset val="100"/>
        <c:noMultiLvlLbl val="0"/>
      </c:catAx>
      <c:valAx>
        <c:axId val="487307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840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10</xdr:row>
      <xdr:rowOff>19049</xdr:rowOff>
    </xdr:from>
    <xdr:to>
      <xdr:col>5</xdr:col>
      <xdr:colOff>342900</xdr:colOff>
      <xdr:row>14</xdr:row>
      <xdr:rowOff>133350</xdr:rowOff>
    </xdr:to>
    <xdr:sp macro="" textlink="">
      <xdr:nvSpPr>
        <xdr:cNvPr id="2" name="TextBox 1"/>
        <xdr:cNvSpPr txBox="1"/>
      </xdr:nvSpPr>
      <xdr:spPr>
        <a:xfrm>
          <a:off x="1857375" y="1924049"/>
          <a:ext cx="2524125" cy="8763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Gender is</a:t>
          </a:r>
          <a:r>
            <a:rPr lang="en-US" sz="1100" baseline="0"/>
            <a:t> </a:t>
          </a:r>
          <a:r>
            <a:rPr lang="en-US" sz="1100"/>
            <a:t>categorical (nominal); the others are numerical. It also makes sense to</a:t>
          </a:r>
          <a:r>
            <a:rPr lang="en-US" sz="1100" baseline="0"/>
            <a:t> treat Education as categorical.</a:t>
          </a:r>
          <a:endParaRPr lang="en-US" sz="1100"/>
        </a:p>
      </xdr:txBody>
    </xdr:sp>
    <xdr:clientData/>
  </xdr:twoCellAnchor>
  <xdr:twoCellAnchor>
    <xdr:from>
      <xdr:col>8</xdr:col>
      <xdr:colOff>152400</xdr:colOff>
      <xdr:row>3</xdr:row>
      <xdr:rowOff>66674</xdr:rowOff>
    </xdr:from>
    <xdr:to>
      <xdr:col>10</xdr:col>
      <xdr:colOff>228600</xdr:colOff>
      <xdr:row>7</xdr:row>
      <xdr:rowOff>38099</xdr:rowOff>
    </xdr:to>
    <xdr:sp macro="" textlink="">
      <xdr:nvSpPr>
        <xdr:cNvPr id="3" name="TextBox 2"/>
        <xdr:cNvSpPr txBox="1"/>
      </xdr:nvSpPr>
      <xdr:spPr>
        <a:xfrm>
          <a:off x="6505575" y="638174"/>
          <a:ext cx="1857375" cy="733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how the proportion can be found</a:t>
          </a:r>
          <a:r>
            <a:rPr lang="en-US" sz="1100" baseline="0"/>
            <a:t> as the average of 0s and 1s.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17</xdr:row>
      <xdr:rowOff>80962</xdr:rowOff>
    </xdr:from>
    <xdr:to>
      <xdr:col>5</xdr:col>
      <xdr:colOff>600075</xdr:colOff>
      <xdr:row>37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409575</xdr:colOff>
      <xdr:row>24</xdr:row>
      <xdr:rowOff>0</xdr:rowOff>
    </xdr:from>
    <xdr:to>
      <xdr:col>9</xdr:col>
      <xdr:colOff>581025</xdr:colOff>
      <xdr:row>27</xdr:row>
      <xdr:rowOff>114300</xdr:rowOff>
    </xdr:to>
    <xdr:sp macro="" textlink="">
      <xdr:nvSpPr>
        <xdr:cNvPr id="3" name="TextBox 2"/>
        <xdr:cNvSpPr txBox="1"/>
      </xdr:nvSpPr>
      <xdr:spPr>
        <a:xfrm>
          <a:off x="5495925" y="3914775"/>
          <a:ext cx="2714625" cy="600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This isn't totally smooth, but it is reasonably bell-shaped</a:t>
          </a:r>
          <a:r>
            <a:rPr lang="en-US" sz="1100" baseline="0"/>
            <a:t> and symmetrical.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20</xdr:row>
      <xdr:rowOff>47626</xdr:rowOff>
    </xdr:from>
    <xdr:to>
      <xdr:col>7</xdr:col>
      <xdr:colOff>600074</xdr:colOff>
      <xdr:row>26</xdr:row>
      <xdr:rowOff>152400</xdr:rowOff>
    </xdr:to>
    <xdr:sp macro="" textlink="">
      <xdr:nvSpPr>
        <xdr:cNvPr id="2" name="TextBox 1"/>
        <xdr:cNvSpPr txBox="1"/>
      </xdr:nvSpPr>
      <xdr:spPr>
        <a:xfrm>
          <a:off x="6305549" y="3429001"/>
          <a:ext cx="2390775" cy="12477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three rules are almost right</a:t>
          </a:r>
          <a:r>
            <a:rPr lang="en-US" sz="1100" baseline="0"/>
            <a:t> on. This isn't too surprising, given the bell-shaped nature of the histogram for Salary (see below). Evidently, the slight skewness to the right doesn't invalidate the empirical rules.</a:t>
          </a:r>
          <a:endParaRPr lang="en-US" sz="1100"/>
        </a:p>
      </xdr:txBody>
    </xdr:sp>
    <xdr:clientData/>
  </xdr:twoCellAnchor>
  <xdr:twoCellAnchor editAs="oneCell">
    <xdr:from>
      <xdr:col>0</xdr:col>
      <xdr:colOff>12700</xdr:colOff>
      <xdr:row>40</xdr:row>
      <xdr:rowOff>80962</xdr:rowOff>
    </xdr:from>
    <xdr:to>
      <xdr:col>3</xdr:col>
      <xdr:colOff>133350</xdr:colOff>
      <xdr:row>60</xdr:row>
      <xdr:rowOff>17462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J205"/>
  <sheetViews>
    <sheetView tabSelected="1" workbookViewId="0"/>
  </sheetViews>
  <sheetFormatPr defaultRowHeight="15" x14ac:dyDescent="0.25"/>
  <cols>
    <col min="1" max="1" width="9.85546875" style="6" bestFit="1" customWidth="1"/>
    <col min="2" max="2" width="9.140625" style="2"/>
    <col min="3" max="3" width="7.5703125" style="2" customWidth="1"/>
    <col min="4" max="5" width="17" style="2" customWidth="1"/>
    <col min="6" max="6" width="10.7109375" style="2" customWidth="1"/>
    <col min="7" max="7" width="14.85546875" style="2" customWidth="1"/>
    <col min="8" max="8" width="9.140625" style="2"/>
    <col min="9" max="9" width="17.5703125" style="2" bestFit="1" customWidth="1"/>
    <col min="10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10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  <c r="I1" s="1" t="s">
        <v>96</v>
      </c>
    </row>
    <row r="2" spans="1:10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  <c r="I2" s="2" t="s">
        <v>97</v>
      </c>
      <c r="J2" s="24">
        <f>AVERAGE(ST_Gender)</f>
        <v>0.58333333333333337</v>
      </c>
    </row>
    <row r="3" spans="1:10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10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10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10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10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10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10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10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10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10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10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10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10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10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16</v>
      </c>
      <c r="B1" s="7" t="s">
        <v>17</v>
      </c>
      <c r="C1" s="7" t="s">
        <v>7</v>
      </c>
      <c r="D1" s="7">
        <v>5</v>
      </c>
      <c r="E1" s="7" t="s">
        <v>8</v>
      </c>
      <c r="F1" s="7">
        <v>5</v>
      </c>
      <c r="G1" s="7" t="s">
        <v>9</v>
      </c>
      <c r="H1" s="7">
        <v>0</v>
      </c>
      <c r="I1" s="7" t="s">
        <v>10</v>
      </c>
      <c r="J1" s="7">
        <v>1</v>
      </c>
      <c r="K1" s="7" t="s">
        <v>11</v>
      </c>
      <c r="L1" s="7">
        <v>0</v>
      </c>
      <c r="M1" s="7" t="s">
        <v>12</v>
      </c>
      <c r="N1" s="7">
        <v>0</v>
      </c>
      <c r="O1" s="7" t="s">
        <v>13</v>
      </c>
      <c r="P1" s="7">
        <v>1</v>
      </c>
      <c r="Q1" s="7" t="s">
        <v>14</v>
      </c>
      <c r="R1" s="7">
        <v>0</v>
      </c>
      <c r="S1" s="7" t="s">
        <v>15</v>
      </c>
      <c r="T1" s="7">
        <v>0</v>
      </c>
    </row>
    <row r="2" spans="1:20" x14ac:dyDescent="0.25">
      <c r="A2" s="8" t="s">
        <v>18</v>
      </c>
      <c r="B2" s="7" t="s">
        <v>19</v>
      </c>
    </row>
    <row r="3" spans="1:20" x14ac:dyDescent="0.25">
      <c r="A3" s="8" t="s">
        <v>20</v>
      </c>
      <c r="B3" s="7" t="b">
        <f>IF(B10&gt;256,"TripUpST110AndEarlier",FALSE)</f>
        <v>0</v>
      </c>
    </row>
    <row r="4" spans="1:20" x14ac:dyDescent="0.25">
      <c r="A4" s="8" t="s">
        <v>21</v>
      </c>
      <c r="B4" s="7" t="s">
        <v>22</v>
      </c>
    </row>
    <row r="5" spans="1:20" x14ac:dyDescent="0.25">
      <c r="A5" s="8" t="s">
        <v>23</v>
      </c>
      <c r="B5" s="7" t="b">
        <v>1</v>
      </c>
    </row>
    <row r="6" spans="1:20" x14ac:dyDescent="0.25">
      <c r="A6" s="8" t="s">
        <v>24</v>
      </c>
      <c r="B6" s="7" t="b">
        <v>1</v>
      </c>
    </row>
    <row r="7" spans="1:20" x14ac:dyDescent="0.25">
      <c r="A7" s="8" t="s">
        <v>25</v>
      </c>
      <c r="B7" s="7">
        <f>Data!$A$1:$G$205</f>
        <v>1</v>
      </c>
    </row>
    <row r="8" spans="1:20" x14ac:dyDescent="0.25">
      <c r="A8" s="8" t="s">
        <v>26</v>
      </c>
      <c r="B8" s="7">
        <v>1</v>
      </c>
    </row>
    <row r="9" spans="1:20" x14ac:dyDescent="0.25">
      <c r="A9" s="8" t="s">
        <v>27</v>
      </c>
      <c r="B9" s="7">
        <f>1</f>
        <v>1</v>
      </c>
    </row>
    <row r="10" spans="1:20" x14ac:dyDescent="0.25">
      <c r="A10" s="8" t="s">
        <v>28</v>
      </c>
      <c r="B10" s="7">
        <v>7</v>
      </c>
    </row>
    <row r="12" spans="1:20" x14ac:dyDescent="0.25">
      <c r="A12" s="8" t="s">
        <v>29</v>
      </c>
      <c r="B12" s="7" t="s">
        <v>30</v>
      </c>
      <c r="C12" s="7" t="s">
        <v>31</v>
      </c>
      <c r="D12" s="7" t="s">
        <v>32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33</v>
      </c>
      <c r="B13" s="7">
        <f>Data!$A$1:$A$205</f>
        <v>12</v>
      </c>
    </row>
    <row r="14" spans="1:20" x14ac:dyDescent="0.25">
      <c r="A14" s="8" t="s">
        <v>34</v>
      </c>
    </row>
    <row r="15" spans="1:20" x14ac:dyDescent="0.25">
      <c r="A15" s="8" t="s">
        <v>35</v>
      </c>
      <c r="B15" s="7" t="s">
        <v>36</v>
      </c>
      <c r="C15" s="7" t="s">
        <v>37</v>
      </c>
      <c r="D15" s="7" t="s">
        <v>38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39</v>
      </c>
      <c r="B16" s="7">
        <f>Data!$B$1:$B$205</f>
        <v>1</v>
      </c>
    </row>
    <row r="17" spans="1:7" x14ac:dyDescent="0.25">
      <c r="A17" s="8" t="s">
        <v>40</v>
      </c>
    </row>
    <row r="18" spans="1:7" x14ac:dyDescent="0.25">
      <c r="A18" s="8" t="s">
        <v>41</v>
      </c>
      <c r="B18" s="7" t="s">
        <v>42</v>
      </c>
      <c r="C18" s="7" t="s">
        <v>43</v>
      </c>
      <c r="D18" s="7" t="s">
        <v>44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45</v>
      </c>
      <c r="B19" s="7">
        <f>Data!$C$1:$C$205</f>
        <v>30</v>
      </c>
    </row>
    <row r="20" spans="1:7" x14ac:dyDescent="0.25">
      <c r="A20" s="8" t="s">
        <v>46</v>
      </c>
    </row>
    <row r="21" spans="1:7" x14ac:dyDescent="0.25">
      <c r="A21" s="8" t="s">
        <v>47</v>
      </c>
      <c r="B21" s="7" t="s">
        <v>48</v>
      </c>
      <c r="C21" s="7" t="s">
        <v>49</v>
      </c>
      <c r="D21" s="7" t="s">
        <v>50</v>
      </c>
      <c r="E21" s="7" t="b">
        <v>1</v>
      </c>
      <c r="F21" s="7">
        <v>0</v>
      </c>
      <c r="G21" s="7">
        <v>4</v>
      </c>
    </row>
    <row r="22" spans="1:7" x14ac:dyDescent="0.25">
      <c r="A22" s="8" t="s">
        <v>51</v>
      </c>
      <c r="B22" s="7">
        <f>Data!$D$1:$D$205</f>
        <v>10</v>
      </c>
    </row>
    <row r="23" spans="1:7" x14ac:dyDescent="0.25">
      <c r="A23" s="8" t="s">
        <v>52</v>
      </c>
    </row>
    <row r="24" spans="1:7" x14ac:dyDescent="0.25">
      <c r="A24" s="8" t="s">
        <v>53</v>
      </c>
      <c r="B24" s="7" t="s">
        <v>54</v>
      </c>
      <c r="C24" s="7" t="s">
        <v>55</v>
      </c>
      <c r="D24" s="7" t="s">
        <v>56</v>
      </c>
      <c r="E24" s="7" t="b">
        <v>1</v>
      </c>
      <c r="F24" s="7">
        <v>0</v>
      </c>
      <c r="G24" s="7">
        <v>4</v>
      </c>
    </row>
    <row r="25" spans="1:7" x14ac:dyDescent="0.25">
      <c r="A25" s="8" t="s">
        <v>57</v>
      </c>
      <c r="B25" s="7">
        <f>Data!$E$1:$E$205</f>
        <v>1</v>
      </c>
    </row>
    <row r="26" spans="1:7" x14ac:dyDescent="0.25">
      <c r="A26" s="8" t="s">
        <v>58</v>
      </c>
    </row>
    <row r="27" spans="1:7" x14ac:dyDescent="0.25">
      <c r="A27" s="8" t="s">
        <v>59</v>
      </c>
      <c r="B27" s="7" t="s">
        <v>60</v>
      </c>
      <c r="C27" s="7" t="s">
        <v>61</v>
      </c>
      <c r="D27" s="7" t="s">
        <v>62</v>
      </c>
      <c r="E27" s="7" t="b">
        <v>1</v>
      </c>
      <c r="F27" s="7">
        <v>0</v>
      </c>
      <c r="G27" s="7">
        <v>4</v>
      </c>
    </row>
    <row r="28" spans="1:7" x14ac:dyDescent="0.25">
      <c r="A28" s="8" t="s">
        <v>63</v>
      </c>
      <c r="B28" s="7">
        <f>Data!$F$1:$F$205</f>
        <v>2</v>
      </c>
    </row>
    <row r="29" spans="1:7" x14ac:dyDescent="0.25">
      <c r="A29" s="8" t="s">
        <v>64</v>
      </c>
    </row>
    <row r="30" spans="1:7" x14ac:dyDescent="0.25">
      <c r="A30" s="8" t="s">
        <v>65</v>
      </c>
      <c r="B30" s="7" t="s">
        <v>66</v>
      </c>
      <c r="C30" s="7" t="s">
        <v>67</v>
      </c>
      <c r="D30" s="7" t="s">
        <v>68</v>
      </c>
      <c r="E30" s="7" t="b">
        <v>1</v>
      </c>
      <c r="F30" s="7">
        <v>0</v>
      </c>
      <c r="G30" s="7">
        <v>4</v>
      </c>
    </row>
    <row r="31" spans="1:7" x14ac:dyDescent="0.25">
      <c r="A31" s="8" t="s">
        <v>69</v>
      </c>
      <c r="B31" s="7">
        <f>Data!$G$1:$G$205</f>
        <v>82400</v>
      </c>
    </row>
    <row r="32" spans="1:7" x14ac:dyDescent="0.25">
      <c r="A32" s="8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7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9" customFormat="1" ht="18.75" x14ac:dyDescent="0.3">
      <c r="A1" s="11" t="s">
        <v>71</v>
      </c>
      <c r="B1" s="14" t="s">
        <v>72</v>
      </c>
    </row>
    <row r="2" spans="1:7" s="9" customFormat="1" ht="11.25" x14ac:dyDescent="0.2">
      <c r="A2" s="12" t="s">
        <v>73</v>
      </c>
      <c r="B2" s="14" t="s">
        <v>74</v>
      </c>
    </row>
    <row r="3" spans="1:7" s="9" customFormat="1" ht="11.25" x14ac:dyDescent="0.2">
      <c r="A3" s="12" t="s">
        <v>75</v>
      </c>
      <c r="B3" s="14" t="s">
        <v>76</v>
      </c>
    </row>
    <row r="4" spans="1:7" s="9" customFormat="1" ht="11.25" x14ac:dyDescent="0.2">
      <c r="A4" s="12" t="s">
        <v>77</v>
      </c>
      <c r="B4" s="14" t="s">
        <v>119</v>
      </c>
    </row>
    <row r="5" spans="1:7" s="10" customFormat="1" ht="11.25" x14ac:dyDescent="0.2">
      <c r="A5" s="13" t="s">
        <v>78</v>
      </c>
      <c r="B5" s="15" t="s">
        <v>79</v>
      </c>
    </row>
    <row r="7" spans="1:7" ht="12.75" customHeight="1" x14ac:dyDescent="0.25">
      <c r="A7" s="19"/>
      <c r="B7" s="33" t="s">
        <v>86</v>
      </c>
      <c r="C7" s="33"/>
      <c r="D7" s="33"/>
      <c r="E7" s="33"/>
      <c r="F7" s="33"/>
      <c r="G7" s="33"/>
    </row>
    <row r="8" spans="1:7" ht="12.75" customHeight="1" thickBot="1" x14ac:dyDescent="0.3">
      <c r="A8" s="20" t="s">
        <v>74</v>
      </c>
      <c r="B8" s="17" t="s">
        <v>80</v>
      </c>
      <c r="C8" s="17" t="s">
        <v>81</v>
      </c>
      <c r="D8" s="17" t="s">
        <v>82</v>
      </c>
      <c r="E8" s="17" t="s">
        <v>83</v>
      </c>
      <c r="F8" s="17" t="s">
        <v>84</v>
      </c>
      <c r="G8" s="17" t="s">
        <v>85</v>
      </c>
    </row>
    <row r="9" spans="1:7" ht="12.75" customHeight="1" thickTop="1" x14ac:dyDescent="0.25">
      <c r="A9" s="18" t="s">
        <v>87</v>
      </c>
      <c r="B9" s="21">
        <v>18</v>
      </c>
      <c r="C9" s="21">
        <v>23.222222219999999</v>
      </c>
      <c r="D9" s="21">
        <f t="shared" ref="D9:D17" si="0">(B9+C9)/2</f>
        <v>20.61111111</v>
      </c>
      <c r="E9" s="16">
        <f>_xll.StatCountRange(ST_Age,B9,C9,TRUE, TRUE)</f>
        <v>13</v>
      </c>
      <c r="F9" s="22">
        <f>E9/_xll.StatCount(ST_Age)</f>
        <v>6.3725490196078427E-2</v>
      </c>
      <c r="G9" s="23">
        <f t="shared" ref="G9:G17" si="1">F9/(C9-B9)</f>
        <v>1.2202753446994915E-2</v>
      </c>
    </row>
    <row r="10" spans="1:7" ht="12.75" customHeight="1" x14ac:dyDescent="0.25">
      <c r="A10" s="18" t="s">
        <v>88</v>
      </c>
      <c r="B10" s="21">
        <v>23.222222219999999</v>
      </c>
      <c r="C10" s="21">
        <v>28.444444440000002</v>
      </c>
      <c r="D10" s="21">
        <f t="shared" si="0"/>
        <v>25.833333330000002</v>
      </c>
      <c r="E10" s="16">
        <f>_xll.StatCountRange(ST_Age,B10,C10,FALSE, TRUE)</f>
        <v>21</v>
      </c>
      <c r="F10" s="22">
        <f>E10/_xll.StatCount(ST_Age)</f>
        <v>0.10294117647058823</v>
      </c>
      <c r="G10" s="23">
        <f t="shared" si="1"/>
        <v>1.9712140183607157E-2</v>
      </c>
    </row>
    <row r="11" spans="1:7" ht="12.75" customHeight="1" x14ac:dyDescent="0.25">
      <c r="A11" s="18" t="s">
        <v>89</v>
      </c>
      <c r="B11" s="21">
        <v>28.444444440000002</v>
      </c>
      <c r="C11" s="21">
        <v>33.666666669999998</v>
      </c>
      <c r="D11" s="21">
        <f t="shared" si="0"/>
        <v>31.055555554999998</v>
      </c>
      <c r="E11" s="16">
        <f>_xll.StatCountRange(ST_Age,B11,C11,FALSE, TRUE)</f>
        <v>38</v>
      </c>
      <c r="F11" s="22">
        <f>E11/_xll.StatCount(ST_Age)</f>
        <v>0.18627450980392157</v>
      </c>
      <c r="G11" s="23">
        <f t="shared" si="1"/>
        <v>3.566958693060477E-2</v>
      </c>
    </row>
    <row r="12" spans="1:7" ht="12.75" customHeight="1" x14ac:dyDescent="0.25">
      <c r="A12" s="18" t="s">
        <v>90</v>
      </c>
      <c r="B12" s="21">
        <v>33.666666669999998</v>
      </c>
      <c r="C12" s="21">
        <v>38.888888889999997</v>
      </c>
      <c r="D12" s="21">
        <f t="shared" si="0"/>
        <v>36.277777779999994</v>
      </c>
      <c r="E12" s="16">
        <f>_xll.StatCountRange(ST_Age,B12,C12,FALSE, TRUE)</f>
        <v>27</v>
      </c>
      <c r="F12" s="22">
        <f>E12/_xll.StatCount(ST_Age)</f>
        <v>0.13235294117647059</v>
      </c>
      <c r="G12" s="23">
        <f t="shared" si="1"/>
        <v>2.5344180236066365E-2</v>
      </c>
    </row>
    <row r="13" spans="1:7" ht="12.75" customHeight="1" x14ac:dyDescent="0.25">
      <c r="A13" s="18" t="s">
        <v>91</v>
      </c>
      <c r="B13" s="21">
        <v>38.888888889999997</v>
      </c>
      <c r="C13" s="21">
        <v>44.111111110000003</v>
      </c>
      <c r="D13" s="21">
        <f t="shared" si="0"/>
        <v>41.5</v>
      </c>
      <c r="E13" s="16">
        <f>_xll.StatCountRange(ST_Age,B13,C13,FALSE, TRUE)</f>
        <v>34</v>
      </c>
      <c r="F13" s="22">
        <f>E13/_xll.StatCount(ST_Age)</f>
        <v>0.16666666666666666</v>
      </c>
      <c r="G13" s="23">
        <f t="shared" si="1"/>
        <v>3.1914893630602043E-2</v>
      </c>
    </row>
    <row r="14" spans="1:7" ht="12.75" customHeight="1" x14ac:dyDescent="0.25">
      <c r="A14" s="18" t="s">
        <v>92</v>
      </c>
      <c r="B14" s="21">
        <v>44.111111110000003</v>
      </c>
      <c r="C14" s="21">
        <v>49.333333330000002</v>
      </c>
      <c r="D14" s="21">
        <f t="shared" si="0"/>
        <v>46.722222220000006</v>
      </c>
      <c r="E14" s="16">
        <f>_xll.StatCountRange(ST_Age,B14,C14,FALSE, TRUE)</f>
        <v>33</v>
      </c>
      <c r="F14" s="22">
        <f>E14/_xll.StatCount(ST_Age)</f>
        <v>0.16176470588235295</v>
      </c>
      <c r="G14" s="23">
        <f t="shared" si="1"/>
        <v>3.0976220288525556E-2</v>
      </c>
    </row>
    <row r="15" spans="1:7" ht="12.75" customHeight="1" x14ac:dyDescent="0.25">
      <c r="A15" s="18" t="s">
        <v>93</v>
      </c>
      <c r="B15" s="21">
        <v>49.333333330000002</v>
      </c>
      <c r="C15" s="21">
        <v>54.555555560000002</v>
      </c>
      <c r="D15" s="21">
        <f t="shared" si="0"/>
        <v>51.944444445000002</v>
      </c>
      <c r="E15" s="16">
        <f>_xll.StatCountRange(ST_Age,B15,C15,FALSE, TRUE)</f>
        <v>18</v>
      </c>
      <c r="F15" s="22">
        <f>E15/_xll.StatCount(ST_Age)</f>
        <v>8.8235294117647065E-2</v>
      </c>
      <c r="G15" s="23">
        <f t="shared" si="1"/>
        <v>1.6896120125023301E-2</v>
      </c>
    </row>
    <row r="16" spans="1:7" ht="12.75" customHeight="1" x14ac:dyDescent="0.25">
      <c r="A16" s="18" t="s">
        <v>94</v>
      </c>
      <c r="B16" s="21">
        <v>54.555555560000002</v>
      </c>
      <c r="C16" s="21">
        <v>59.777777780000001</v>
      </c>
      <c r="D16" s="21">
        <f t="shared" si="0"/>
        <v>57.166666669999998</v>
      </c>
      <c r="E16" s="16">
        <f>_xll.StatCountRange(ST_Age,B16,C16,FALSE, TRUE)</f>
        <v>10</v>
      </c>
      <c r="F16" s="22">
        <f>E16/_xll.StatCount(ST_Age)</f>
        <v>4.9019607843137254E-2</v>
      </c>
      <c r="G16" s="23">
        <f t="shared" si="1"/>
        <v>9.3867334207653197E-3</v>
      </c>
    </row>
    <row r="17" spans="1:7" ht="12.75" customHeight="1" x14ac:dyDescent="0.25">
      <c r="A17" s="18" t="s">
        <v>95</v>
      </c>
      <c r="B17" s="21">
        <v>59.777777780000001</v>
      </c>
      <c r="C17" s="21">
        <v>65</v>
      </c>
      <c r="D17" s="21">
        <f t="shared" si="0"/>
        <v>62.388888890000004</v>
      </c>
      <c r="E17" s="16">
        <f>_xll.StatCountRange(ST_Age,B17,C17,FALSE, TRUE)</f>
        <v>10</v>
      </c>
      <c r="F17" s="22">
        <f>E17/_xll.StatCount(ST_Age)</f>
        <v>4.9019607843137254E-2</v>
      </c>
      <c r="G17" s="23">
        <f t="shared" si="1"/>
        <v>9.3867334207653197E-3</v>
      </c>
    </row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0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7" bestFit="1" customWidth="1"/>
    <col min="3" max="3" width="36.7109375" customWidth="1"/>
    <col min="4" max="7" width="12.7109375" customWidth="1"/>
  </cols>
  <sheetData>
    <row r="1" spans="1:6" s="9" customFormat="1" ht="18.75" x14ac:dyDescent="0.3">
      <c r="A1" s="11" t="s">
        <v>71</v>
      </c>
      <c r="B1" s="14" t="s">
        <v>72</v>
      </c>
    </row>
    <row r="2" spans="1:6" s="9" customFormat="1" ht="11.25" x14ac:dyDescent="0.2">
      <c r="A2" s="12" t="s">
        <v>73</v>
      </c>
      <c r="B2" s="14" t="s">
        <v>98</v>
      </c>
    </row>
    <row r="3" spans="1:6" s="9" customFormat="1" ht="11.25" x14ac:dyDescent="0.2">
      <c r="A3" s="12" t="s">
        <v>75</v>
      </c>
      <c r="B3" s="14" t="s">
        <v>76</v>
      </c>
    </row>
    <row r="4" spans="1:6" s="9" customFormat="1" ht="11.25" x14ac:dyDescent="0.2">
      <c r="A4" s="12" t="s">
        <v>77</v>
      </c>
      <c r="B4" s="14" t="s">
        <v>119</v>
      </c>
    </row>
    <row r="5" spans="1:6" s="10" customFormat="1" ht="11.25" x14ac:dyDescent="0.2">
      <c r="A5" s="13" t="s">
        <v>78</v>
      </c>
      <c r="B5" s="15" t="s">
        <v>79</v>
      </c>
    </row>
    <row r="6" spans="1:6" x14ac:dyDescent="0.25">
      <c r="A6" s="32" t="s">
        <v>118</v>
      </c>
    </row>
    <row r="7" spans="1:6" ht="12.75" customHeight="1" x14ac:dyDescent="0.25">
      <c r="A7" s="19"/>
      <c r="B7" s="18" t="s">
        <v>1</v>
      </c>
      <c r="C7" s="18" t="s">
        <v>4</v>
      </c>
      <c r="D7" s="18" t="s">
        <v>5</v>
      </c>
      <c r="E7" s="18" t="s">
        <v>2</v>
      </c>
      <c r="F7" s="18" t="s">
        <v>6</v>
      </c>
    </row>
    <row r="8" spans="1:6" ht="12.75" customHeight="1" thickBot="1" x14ac:dyDescent="0.3">
      <c r="A8" s="20" t="s">
        <v>98</v>
      </c>
      <c r="B8" s="25" t="s">
        <v>17</v>
      </c>
      <c r="C8" s="25" t="s">
        <v>17</v>
      </c>
      <c r="D8" s="25" t="s">
        <v>17</v>
      </c>
      <c r="E8" s="25" t="s">
        <v>17</v>
      </c>
      <c r="F8" s="25" t="s">
        <v>17</v>
      </c>
    </row>
    <row r="9" spans="1:6" ht="12.75" customHeight="1" thickTop="1" x14ac:dyDescent="0.25">
      <c r="A9" s="18" t="s">
        <v>99</v>
      </c>
      <c r="B9" s="26">
        <f>_xll.StatMean(ST_Age)</f>
        <v>39.568627450980394</v>
      </c>
      <c r="C9" s="28">
        <f>_xll.StatMean(ST_PriorExperience)</f>
        <v>6.2696078431372548</v>
      </c>
      <c r="D9" s="28">
        <f>_xll.StatMean(ST_BetaExperience)</f>
        <v>8.7990196078431371</v>
      </c>
      <c r="E9" s="28">
        <f>_xll.StatMean(ST_Education)</f>
        <v>4.2941176470588234</v>
      </c>
      <c r="F9" s="26">
        <f>_xll.StatMean(ST_AnnualSalary)</f>
        <v>71274.509803921566</v>
      </c>
    </row>
    <row r="10" spans="1:6" ht="12.75" customHeight="1" x14ac:dyDescent="0.25">
      <c r="A10" s="18" t="s">
        <v>100</v>
      </c>
      <c r="B10" s="26">
        <f>_xll.StatStdDev(ST_Age)</f>
        <v>10.947262567086815</v>
      </c>
      <c r="C10" s="28">
        <f>_xll.StatStdDev(ST_PriorExperience)</f>
        <v>5.0064842528983799</v>
      </c>
      <c r="D10" s="28">
        <f>_xll.StatStdDev(ST_BetaExperience)</f>
        <v>6.2085114800282977</v>
      </c>
      <c r="E10" s="28">
        <f>_xll.StatStdDev(ST_Education)</f>
        <v>1.6703041538553844</v>
      </c>
      <c r="F10" s="26">
        <f>_xll.StatStdDev(ST_AnnualSalary)</f>
        <v>30252.537038990144</v>
      </c>
    </row>
    <row r="11" spans="1:6" ht="12.75" customHeight="1" x14ac:dyDescent="0.25">
      <c r="A11" s="18" t="s">
        <v>101</v>
      </c>
      <c r="B11" s="26">
        <f>_xll.StatMedian(ST_Age)</f>
        <v>39</v>
      </c>
      <c r="C11" s="28">
        <f>_xll.StatMedian(ST_PriorExperience)</f>
        <v>5</v>
      </c>
      <c r="D11" s="28">
        <f>_xll.StatMedian(ST_BetaExperience)</f>
        <v>7</v>
      </c>
      <c r="E11" s="28">
        <f>_xll.StatMedian(ST_Education)</f>
        <v>4</v>
      </c>
      <c r="F11" s="26">
        <f>_xll.StatMedian(ST_AnnualSalary)</f>
        <v>68200</v>
      </c>
    </row>
    <row r="12" spans="1:6" ht="12.75" customHeight="1" x14ac:dyDescent="0.25">
      <c r="A12" s="18" t="s">
        <v>102</v>
      </c>
      <c r="B12" s="26">
        <f>_xll.StatMin(ST_Age)</f>
        <v>18</v>
      </c>
      <c r="C12" s="28">
        <f>_xll.StatMin(ST_PriorExperience)</f>
        <v>0</v>
      </c>
      <c r="D12" s="28">
        <f>_xll.StatMin(ST_BetaExperience)</f>
        <v>1</v>
      </c>
      <c r="E12" s="28">
        <f>_xll.StatMin(ST_Education)</f>
        <v>0</v>
      </c>
      <c r="F12" s="26">
        <f>_xll.StatMin(ST_AnnualSalary)</f>
        <v>12400</v>
      </c>
    </row>
    <row r="13" spans="1:6" ht="12.75" customHeight="1" x14ac:dyDescent="0.25">
      <c r="A13" s="18" t="s">
        <v>103</v>
      </c>
      <c r="B13" s="26">
        <f>_xll.StatMax(ST_Age)</f>
        <v>65</v>
      </c>
      <c r="C13" s="28">
        <f>_xll.StatMax(ST_PriorExperience)</f>
        <v>20</v>
      </c>
      <c r="D13" s="28">
        <f>_xll.StatMax(ST_BetaExperience)</f>
        <v>25</v>
      </c>
      <c r="E13" s="28">
        <f>_xll.StatMax(ST_Education)</f>
        <v>8</v>
      </c>
      <c r="F13" s="26">
        <f>_xll.StatMax(ST_AnnualSalary)</f>
        <v>163900</v>
      </c>
    </row>
    <row r="14" spans="1:6" ht="12.75" customHeight="1" x14ac:dyDescent="0.25">
      <c r="A14" s="18" t="s">
        <v>104</v>
      </c>
      <c r="B14" s="27">
        <f>_xll.StatCount(ST_Age)</f>
        <v>204</v>
      </c>
      <c r="C14" s="27">
        <f>_xll.StatCount(ST_PriorExperience)</f>
        <v>204</v>
      </c>
      <c r="D14" s="27">
        <f>_xll.StatCount(ST_BetaExperience)</f>
        <v>204</v>
      </c>
      <c r="E14" s="27">
        <f>_xll.StatCount(ST_Education)</f>
        <v>204</v>
      </c>
      <c r="F14" s="27">
        <f>_xll.StatCount(ST_AnnualSalary)</f>
        <v>204</v>
      </c>
    </row>
    <row r="15" spans="1:6" ht="12.75" customHeight="1" x14ac:dyDescent="0.25">
      <c r="A15" s="18" t="s">
        <v>105</v>
      </c>
      <c r="B15" s="26">
        <f>_xll.StatQuartile(ST_Age, 1)</f>
        <v>31</v>
      </c>
      <c r="C15" s="28">
        <f>_xll.StatQuartile(ST_PriorExperience, 1)</f>
        <v>2</v>
      </c>
      <c r="D15" s="28">
        <f>_xll.StatQuartile(ST_BetaExperience, 1)</f>
        <v>4</v>
      </c>
      <c r="E15" s="28">
        <f>_xll.StatQuartile(ST_Education, 1)</f>
        <v>4</v>
      </c>
      <c r="F15" s="26">
        <f>_xll.StatQuartile(ST_AnnualSalary, 1)</f>
        <v>51400</v>
      </c>
    </row>
    <row r="16" spans="1:6" ht="12.75" customHeight="1" x14ac:dyDescent="0.25">
      <c r="A16" s="18" t="s">
        <v>106</v>
      </c>
      <c r="B16" s="26">
        <f>_xll.StatQuartile(ST_Age, 3)</f>
        <v>47</v>
      </c>
      <c r="C16" s="28">
        <f>_xll.StatQuartile(ST_PriorExperience, 3)</f>
        <v>10</v>
      </c>
      <c r="D16" s="28">
        <f>_xll.StatQuartile(ST_BetaExperience, 3)</f>
        <v>13</v>
      </c>
      <c r="E16" s="28">
        <f>_xll.StatQuartile(ST_Education, 3)</f>
        <v>6</v>
      </c>
      <c r="F16" s="26">
        <f>_xll.StatQuartile(ST_AnnualSalary, 3)</f>
        <v>86900</v>
      </c>
    </row>
    <row r="18" spans="1:7" x14ac:dyDescent="0.25">
      <c r="C18" t="s">
        <v>117</v>
      </c>
    </row>
    <row r="19" spans="1:7" x14ac:dyDescent="0.25">
      <c r="B19">
        <v>-3</v>
      </c>
      <c r="C19" t="s">
        <v>112</v>
      </c>
      <c r="D19" s="29">
        <f>$F$9+B19*$F$10</f>
        <v>-19483.101313048857</v>
      </c>
    </row>
    <row r="20" spans="1:7" x14ac:dyDescent="0.25">
      <c r="B20">
        <v>-2</v>
      </c>
      <c r="C20" t="s">
        <v>107</v>
      </c>
      <c r="D20" s="29">
        <f t="shared" ref="D20:D24" si="0">$F$9+B20*$F$10</f>
        <v>10769.435725941279</v>
      </c>
    </row>
    <row r="21" spans="1:7" x14ac:dyDescent="0.25">
      <c r="B21">
        <v>-1</v>
      </c>
      <c r="C21" t="s">
        <v>108</v>
      </c>
      <c r="D21" s="29">
        <f t="shared" si="0"/>
        <v>41021.972764931423</v>
      </c>
    </row>
    <row r="22" spans="1:7" x14ac:dyDescent="0.25">
      <c r="B22">
        <v>1</v>
      </c>
      <c r="C22" t="s">
        <v>109</v>
      </c>
      <c r="D22" s="29">
        <f t="shared" si="0"/>
        <v>101527.04684291172</v>
      </c>
    </row>
    <row r="23" spans="1:7" x14ac:dyDescent="0.25">
      <c r="B23">
        <v>2</v>
      </c>
      <c r="C23" t="s">
        <v>110</v>
      </c>
      <c r="D23" s="29">
        <f t="shared" si="0"/>
        <v>131779.58388190187</v>
      </c>
    </row>
    <row r="24" spans="1:7" x14ac:dyDescent="0.25">
      <c r="B24">
        <v>3</v>
      </c>
      <c r="C24" t="s">
        <v>111</v>
      </c>
      <c r="D24" s="29">
        <f t="shared" si="0"/>
        <v>162032.12092089199</v>
      </c>
    </row>
    <row r="26" spans="1:7" x14ac:dyDescent="0.25">
      <c r="C26" t="s">
        <v>113</v>
      </c>
      <c r="D26" s="30">
        <f>COUNTIFS(ST_AnnualSalary,"&gt;="&amp;'One Var Summary'!D21,ST_AnnualSalary,"&lt;="&amp;'One Var Summary'!D22)/'One Var Summary'!$B$14</f>
        <v>0.68627450980392157</v>
      </c>
    </row>
    <row r="27" spans="1:7" x14ac:dyDescent="0.25">
      <c r="C27" t="s">
        <v>114</v>
      </c>
      <c r="D27" s="30">
        <f>COUNTIFS(ST_AnnualSalary,"&gt;="&amp;'One Var Summary'!D20,ST_AnnualSalary,"&lt;="&amp;'One Var Summary'!D23)/'One Var Summary'!$B$14</f>
        <v>0.95588235294117652</v>
      </c>
    </row>
    <row r="28" spans="1:7" x14ac:dyDescent="0.25">
      <c r="C28" t="s">
        <v>115</v>
      </c>
      <c r="D28" s="30">
        <f>COUNTIFS(ST_AnnualSalary,"&gt;="&amp;'One Var Summary'!D19,ST_AnnualSalary,"&lt;="&amp;'One Var Summary'!D24)/'One Var Summary'!$B$14</f>
        <v>0.99509803921568629</v>
      </c>
    </row>
    <row r="30" spans="1:7" ht="12.75" customHeight="1" x14ac:dyDescent="0.25">
      <c r="A30" s="19"/>
      <c r="B30" s="33" t="s">
        <v>116</v>
      </c>
      <c r="C30" s="33"/>
      <c r="D30" s="33"/>
      <c r="E30" s="33"/>
      <c r="F30" s="33"/>
      <c r="G30" s="33"/>
    </row>
    <row r="31" spans="1:7" ht="12.75" customHeight="1" thickBot="1" x14ac:dyDescent="0.3">
      <c r="A31" s="20" t="s">
        <v>74</v>
      </c>
      <c r="B31" s="17" t="s">
        <v>80</v>
      </c>
      <c r="C31" s="17" t="s">
        <v>81</v>
      </c>
      <c r="D31" s="17" t="s">
        <v>82</v>
      </c>
      <c r="E31" s="17" t="s">
        <v>83</v>
      </c>
      <c r="F31" s="17" t="s">
        <v>84</v>
      </c>
      <c r="G31" s="17" t="s">
        <v>85</v>
      </c>
    </row>
    <row r="32" spans="1:7" ht="12.75" customHeight="1" thickTop="1" x14ac:dyDescent="0.25">
      <c r="A32" s="18" t="s">
        <v>87</v>
      </c>
      <c r="B32" s="21">
        <v>12400</v>
      </c>
      <c r="C32" s="21">
        <v>29233.33333333</v>
      </c>
      <c r="D32" s="21">
        <f t="shared" ref="D32:D40" si="1">(B32+C32)/2</f>
        <v>20816.666666664998</v>
      </c>
      <c r="E32" s="16">
        <f>_xll.StatCountRange([0]!ST_AnnualSalary,B32,C32,TRUE, TRUE)</f>
        <v>15</v>
      </c>
      <c r="F32" s="22">
        <f>E32/_xll.StatCount([0]!ST_AnnualSalary)</f>
        <v>7.3529411764705885E-2</v>
      </c>
      <c r="G32" s="31">
        <f t="shared" ref="G32:G40" si="2">F32/(C32-B32)</f>
        <v>4.3680838672111159E-6</v>
      </c>
    </row>
    <row r="33" spans="1:7" ht="12.75" customHeight="1" x14ac:dyDescent="0.25">
      <c r="A33" s="18" t="s">
        <v>88</v>
      </c>
      <c r="B33" s="21">
        <v>29233.33333333</v>
      </c>
      <c r="C33" s="21">
        <v>46066.666666669997</v>
      </c>
      <c r="D33" s="21">
        <f t="shared" si="1"/>
        <v>37650</v>
      </c>
      <c r="E33" s="16">
        <f>_xll.StatCountRange([0]!ST_AnnualSalary,B33,C33,FALSE, TRUE)</f>
        <v>29</v>
      </c>
      <c r="F33" s="22">
        <f>E33/_xll.StatCount([0]!ST_AnnualSalary)</f>
        <v>0.14215686274509803</v>
      </c>
      <c r="G33" s="31">
        <f t="shared" si="2"/>
        <v>8.444962143269808E-6</v>
      </c>
    </row>
    <row r="34" spans="1:7" ht="12.75" customHeight="1" x14ac:dyDescent="0.25">
      <c r="A34" s="18" t="s">
        <v>89</v>
      </c>
      <c r="B34" s="21">
        <v>46066.666666669997</v>
      </c>
      <c r="C34" s="21">
        <v>62900</v>
      </c>
      <c r="D34" s="21">
        <f t="shared" si="1"/>
        <v>54483.333333335002</v>
      </c>
      <c r="E34" s="16">
        <f>_xll.StatCountRange([0]!ST_AnnualSalary,B34,C34,FALSE, TRUE)</f>
        <v>42</v>
      </c>
      <c r="F34" s="22">
        <f>E34/_xll.StatCount([0]!ST_AnnualSalary)</f>
        <v>0.20588235294117646</v>
      </c>
      <c r="G34" s="31">
        <f t="shared" si="2"/>
        <v>1.223063482819112E-5</v>
      </c>
    </row>
    <row r="35" spans="1:7" ht="12.75" customHeight="1" x14ac:dyDescent="0.25">
      <c r="A35" s="18" t="s">
        <v>90</v>
      </c>
      <c r="B35" s="21">
        <v>62900</v>
      </c>
      <c r="C35" s="21">
        <v>79733.333333329996</v>
      </c>
      <c r="D35" s="21">
        <f t="shared" si="1"/>
        <v>71316.666666664998</v>
      </c>
      <c r="E35" s="16">
        <f>_xll.StatCountRange([0]!ST_AnnualSalary,B35,C35,FALSE, TRUE)</f>
        <v>50</v>
      </c>
      <c r="F35" s="22">
        <f>E35/_xll.StatCount([0]!ST_AnnualSalary)</f>
        <v>0.24509803921568626</v>
      </c>
      <c r="G35" s="31">
        <f t="shared" si="2"/>
        <v>1.4560279557370388E-5</v>
      </c>
    </row>
    <row r="36" spans="1:7" ht="12.75" customHeight="1" x14ac:dyDescent="0.25">
      <c r="A36" s="18" t="s">
        <v>91</v>
      </c>
      <c r="B36" s="21">
        <v>79733.333333329996</v>
      </c>
      <c r="C36" s="21">
        <v>96566.666666670004</v>
      </c>
      <c r="D36" s="21">
        <f t="shared" si="1"/>
        <v>88150</v>
      </c>
      <c r="E36" s="16">
        <f>_xll.StatCountRange([0]!ST_AnnualSalary,B36,C36,FALSE, TRUE)</f>
        <v>30</v>
      </c>
      <c r="F36" s="22">
        <f>E36/_xll.StatCount([0]!ST_AnnualSalary)</f>
        <v>0.14705882352941177</v>
      </c>
      <c r="G36" s="31">
        <f t="shared" si="2"/>
        <v>8.7361677344170379E-6</v>
      </c>
    </row>
    <row r="37" spans="1:7" ht="12.75" customHeight="1" x14ac:dyDescent="0.25">
      <c r="A37" s="18" t="s">
        <v>92</v>
      </c>
      <c r="B37" s="21">
        <v>96566.666666670004</v>
      </c>
      <c r="C37" s="21">
        <v>113400</v>
      </c>
      <c r="D37" s="21">
        <f t="shared" si="1"/>
        <v>104983.333333335</v>
      </c>
      <c r="E37" s="16">
        <f>_xll.StatCountRange([0]!ST_AnnualSalary,B37,C37,FALSE, TRUE)</f>
        <v>17</v>
      </c>
      <c r="F37" s="22">
        <f>E37/_xll.StatCount([0]!ST_AnnualSalary)</f>
        <v>8.3333333333333329E-2</v>
      </c>
      <c r="G37" s="31">
        <f t="shared" si="2"/>
        <v>4.9504950495059315E-6</v>
      </c>
    </row>
    <row r="38" spans="1:7" ht="12.75" customHeight="1" x14ac:dyDescent="0.25">
      <c r="A38" s="18" t="s">
        <v>93</v>
      </c>
      <c r="B38" s="21">
        <v>113400</v>
      </c>
      <c r="C38" s="21">
        <v>130233.33333333</v>
      </c>
      <c r="D38" s="21">
        <f t="shared" si="1"/>
        <v>121816.666666665</v>
      </c>
      <c r="E38" s="16">
        <f>_xll.StatCountRange([0]!ST_AnnualSalary,B38,C38,FALSE, TRUE)</f>
        <v>11</v>
      </c>
      <c r="F38" s="22">
        <f>E38/_xll.StatCount([0]!ST_AnnualSalary)</f>
        <v>5.3921568627450983E-2</v>
      </c>
      <c r="G38" s="31">
        <f t="shared" si="2"/>
        <v>3.2032615026214856E-6</v>
      </c>
    </row>
    <row r="39" spans="1:7" ht="12.75" customHeight="1" x14ac:dyDescent="0.25">
      <c r="A39" s="18" t="s">
        <v>94</v>
      </c>
      <c r="B39" s="21">
        <v>130233.33333333</v>
      </c>
      <c r="C39" s="21">
        <v>147066.66666667</v>
      </c>
      <c r="D39" s="21">
        <f t="shared" si="1"/>
        <v>138650</v>
      </c>
      <c r="E39" s="16">
        <f>_xll.StatCountRange([0]!ST_AnnualSalary,B39,C39,FALSE, TRUE)</f>
        <v>8</v>
      </c>
      <c r="F39" s="22">
        <f>E39/_xll.StatCount([0]!ST_AnnualSalary)</f>
        <v>3.9215686274509803E-2</v>
      </c>
      <c r="G39" s="31">
        <f t="shared" si="2"/>
        <v>2.3296447291778765E-6</v>
      </c>
    </row>
    <row r="40" spans="1:7" ht="12.75" customHeight="1" x14ac:dyDescent="0.25">
      <c r="A40" s="18" t="s">
        <v>95</v>
      </c>
      <c r="B40" s="21">
        <v>147066.66666667</v>
      </c>
      <c r="C40" s="21">
        <v>163900</v>
      </c>
      <c r="D40" s="21">
        <f t="shared" si="1"/>
        <v>155483.333333335</v>
      </c>
      <c r="E40" s="16">
        <f>_xll.StatCountRange([0]!ST_AnnualSalary,B40,C40,FALSE, TRUE)</f>
        <v>2</v>
      </c>
      <c r="F40" s="22">
        <f>E40/_xll.StatCount([0]!ST_AnnualSalary)</f>
        <v>9.8039215686274508E-3</v>
      </c>
      <c r="G40" s="31">
        <f t="shared" si="2"/>
        <v>5.8241118229481547E-7</v>
      </c>
    </row>
    <row r="41" spans="1:7" ht="12.75" customHeight="1" x14ac:dyDescent="0.25"/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</sheetData>
  <mergeCells count="1">
    <mergeCell ref="B30:G30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Data</vt:lpstr>
      <vt:lpstr>_STDS_DG19E059A2</vt:lpstr>
      <vt:lpstr>Histogram of Age</vt:lpstr>
      <vt:lpstr>One Var Summary</vt:lpstr>
      <vt:lpstr>ST_Age</vt:lpstr>
      <vt:lpstr>ST_AnnualSalary</vt:lpstr>
      <vt:lpstr>ST_BetaExperience</vt:lpstr>
      <vt:lpstr>ST_Education</vt:lpstr>
      <vt:lpstr>ST_Employee</vt:lpstr>
      <vt:lpstr>ST_Gender</vt:lpstr>
      <vt:lpstr>ST_PriorExperience</vt:lpstr>
      <vt:lpstr>'Histogram of Age'!StatToolsHeader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2007-05-15T19:08:45Z</dcterms:created>
  <dcterms:modified xsi:type="dcterms:W3CDTF">2012-10-12T17:13:09Z</dcterms:modified>
</cp:coreProperties>
</file>