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activeTab="1"/>
  </bookViews>
  <sheets>
    <sheet name="Source" sheetId="3" r:id="rId1"/>
    <sheet name="Data" sheetId="2" r:id="rId2"/>
    <sheet name="_STDS_DG26EB08C4" sheetId="4" state="hidden" r:id="rId3"/>
    <sheet name="Correlations" sheetId="6" r:id="rId4"/>
    <sheet name="Scatterplot" sheetId="7" r:id="rId5"/>
  </sheets>
  <definedNames>
    <definedName name="PalisadeReportWorksheetCreatedBy" localSheetId="3" hidden="1">"StatTools"</definedName>
    <definedName name="PalisadeReportWorksheetCreatedBy" localSheetId="4" hidden="1">"StatTools"</definedName>
    <definedName name="ScatterX_3246" localSheetId="4">_xll.StatScatterPlot([0]!ST_NetIncome,[0]!ST_RD,0)</definedName>
    <definedName name="ScatterX_362" localSheetId="4">_xll.StatScatterPlot([0]!ST_CurrentAssets,[0]!ST_RD,0)</definedName>
    <definedName name="ScatterX_3683D" localSheetId="4">_xll.StatScatterPlot([0]!ST_OperatingIncome,[0]!ST_RD,0)</definedName>
    <definedName name="ScatterX_5ED51" localSheetId="4">_xll.StatScatterPlot([0]!ST_StockholdersEquity,[0]!ST_RD,0)</definedName>
    <definedName name="ScatterX_A89AD" localSheetId="4">_xll.StatScatterPlot([0]!ST_LongTermDebt,[0]!ST_RD,0)</definedName>
    <definedName name="ScatterX_AEC29" localSheetId="4">_xll.StatScatterPlot([0]!ST_LogTotalRevenue,[0]!ST_LogRD,0)</definedName>
    <definedName name="ScatterX_B24B3" localSheetId="4">_xll.StatScatterPlot([0]!ST_TotalAssets,[0]!ST_RD,0)</definedName>
    <definedName name="ScatterY_3246" localSheetId="4">_xll.StatScatterPlot([0]!ST_NetIncome,[0]!ST_RD,1)</definedName>
    <definedName name="ScatterY_362" localSheetId="4">_xll.StatScatterPlot([0]!ST_CurrentAssets,[0]!ST_RD,1)</definedName>
    <definedName name="ScatterY_3683D" localSheetId="4">_xll.StatScatterPlot([0]!ST_OperatingIncome,[0]!ST_RD,1)</definedName>
    <definedName name="ScatterY_5ED51" localSheetId="4">_xll.StatScatterPlot([0]!ST_StockholdersEquity,[0]!ST_RD,1)</definedName>
    <definedName name="ScatterY_A89AD" localSheetId="4">_xll.StatScatterPlot([0]!ST_LongTermDebt,[0]!ST_RD,1)</definedName>
    <definedName name="ScatterY_AEC29" localSheetId="4">_xll.StatScatterPlot([0]!ST_LogTotalRevenue,[0]!ST_LogRD,1)</definedName>
    <definedName name="ScatterY_B24B3" localSheetId="4">_xll.StatScatterPlot([0]!ST_TotalAssets,[0]!ST_RD,1)</definedName>
    <definedName name="ST_AsofDate">Data!$B$4:$B$88</definedName>
    <definedName name="ST_CalculatedTaxRate">Data!$R$4:$R$88</definedName>
    <definedName name="ST_Company">Data!$A$4:$A$88</definedName>
    <definedName name="ST_CurrentAssets">Data!$I$4:$I$88</definedName>
    <definedName name="ST_CurrentLiabilities">Data!$K$4:$K$88</definedName>
    <definedName name="ST_CurrentRatio">Data!$T$4:$T$88</definedName>
    <definedName name="ST_EBITDA">Data!$E$4:$E$88</definedName>
    <definedName name="ST_EBITDAMargin">Data!$Q$4:$Q$88</definedName>
    <definedName name="ST_LogRD">Data!$V$4:$V$88</definedName>
    <definedName name="ST_LogTotalRevenue">Data!$W$4:$W$88</definedName>
    <definedName name="ST_LongTermDebt">Data!$L$4:$L$88</definedName>
    <definedName name="ST_NetCurrentAssetsTA">Data!$U$4:$U$88</definedName>
    <definedName name="ST_NetIncome">Data!$G$4:$G$88</definedName>
    <definedName name="ST_OperatingIncome">Data!$F$4:$F$88</definedName>
    <definedName name="ST_QuickRatio">Data!$S$4:$S$88</definedName>
    <definedName name="ST_RD">Data!$C$4:$C$88</definedName>
    <definedName name="ST_ROANet">Data!$N$4:$N$88</definedName>
    <definedName name="ST_ROENet">Data!$O$4:$O$88</definedName>
    <definedName name="ST_ROIOperating">Data!$P$4:$P$88</definedName>
    <definedName name="ST_StockholdersEquity">Data!$M$4:$M$88</definedName>
    <definedName name="ST_TotalAssets">Data!$H$4:$H$88</definedName>
    <definedName name="ST_TotalLiabilities">Data!$J$4:$J$88</definedName>
    <definedName name="ST_TotalRevenue">Data!$D$4:$D$88</definedName>
    <definedName name="StatToolsHeader" localSheetId="3">Correlations!$1:$5</definedName>
    <definedName name="StatToolsHeader" localSheetId="4">Scatterplot!$1:$5</definedName>
    <definedName name="STWBD_StatToolsCorrAndCovar_CorrelationTable" hidden="1">"TRUE"</definedName>
    <definedName name="STWBD_StatToolsCorrAndCovar_CovarianceTable" hidden="1">"FALSE"</definedName>
    <definedName name="STWBD_StatToolsCorrAndCovar_HasDefaultInfo" hidden="1">"TRUE"</definedName>
    <definedName name="STWBD_StatToolsCorrAndCovar_TableStructure" hidden="1">" 2"</definedName>
    <definedName name="STWBD_StatToolsCorrAndCovar_VariableList" hidden="1">19</definedName>
    <definedName name="STWBD_StatToolsCorrAndCovar_VariableList_1" hidden="1">"U_x0001_VG28EF555E3427CED0_x0001_"</definedName>
    <definedName name="STWBD_StatToolsCorrAndCovar_VariableList_10" hidden="1">"U_x0001_VG26486CBE8C1FC07_x0001_"</definedName>
    <definedName name="STWBD_StatToolsCorrAndCovar_VariableList_11" hidden="1">"U_x0001_VG146FF0AC218C20A1_x0001_"</definedName>
    <definedName name="STWBD_StatToolsCorrAndCovar_VariableList_12" hidden="1">"U_x0001_VG27C2CAF31DC669CB_x0001_"</definedName>
    <definedName name="STWBD_StatToolsCorrAndCovar_VariableList_13" hidden="1">"U_x0001_VGF2454BCA4632DB_x0001_"</definedName>
    <definedName name="STWBD_StatToolsCorrAndCovar_VariableList_14" hidden="1">"U_x0001_VG38A638736395EC9_x0001_"</definedName>
    <definedName name="STWBD_StatToolsCorrAndCovar_VariableList_15" hidden="1">"U_x0001_VG1E848E11AE6E271_x0001_"</definedName>
    <definedName name="STWBD_StatToolsCorrAndCovar_VariableList_16" hidden="1">"U_x0001_VG371B5288341A3CFB_x0001_"</definedName>
    <definedName name="STWBD_StatToolsCorrAndCovar_VariableList_17" hidden="1">"U_x0001_VGB492A5B29148771_x0001_"</definedName>
    <definedName name="STWBD_StatToolsCorrAndCovar_VariableList_18" hidden="1">"U_x0001_VG26BDE6C33E8111C_x0001_"</definedName>
    <definedName name="STWBD_StatToolsCorrAndCovar_VariableList_19" hidden="1">"U_x0001_VG18B1A90924E696AE_x0001_"</definedName>
    <definedName name="STWBD_StatToolsCorrAndCovar_VariableList_2" hidden="1">"U_x0001_VG2CD17C5B1221B798_x0001_"</definedName>
    <definedName name="STWBD_StatToolsCorrAndCovar_VariableList_3" hidden="1">"U_x0001_VG112C78941EF09663_x0001_"</definedName>
    <definedName name="STWBD_StatToolsCorrAndCovar_VariableList_4" hidden="1">"U_x0001_VG192C773A158EA84C_x0001_"</definedName>
    <definedName name="STWBD_StatToolsCorrAndCovar_VariableList_5" hidden="1">"U_x0001_VG10EB7130DF68B92_x0001_"</definedName>
    <definedName name="STWBD_StatToolsCorrAndCovar_VariableList_6" hidden="1">"U_x0001_VG19031928B679295_x0001_"</definedName>
    <definedName name="STWBD_StatToolsCorrAndCovar_VariableList_7" hidden="1">"U_x0001_VG22962A9EE3CA8F3_x0001_"</definedName>
    <definedName name="STWBD_StatToolsCorrAndCovar_VariableList_8" hidden="1">"U_x0001_VG3A14F48043C769A_x0001_"</definedName>
    <definedName name="STWBD_StatToolsCorrAndCovar_VariableList_9" hidden="1">"U_x0001_VG2149F6E629D5C393_x0001_"</definedName>
    <definedName name="STWBD_StatToolsCorrAndCovar_VarSelectorDefaultDataSet" hidden="1">"DG26EB08C4"</definedName>
    <definedName name="STWBD_StatToolsScatterplot_DisplayCorrelationCoefficient" hidden="1">"TRUE"</definedName>
    <definedName name="STWBD_StatToolsScatterplot_HasDefaultInfo" hidden="1">"TRUE"</definedName>
    <definedName name="STWBD_StatToolsScatterplot_VarSelectorDefaultDataSet" hidden="1">"DG26EB08C4"</definedName>
    <definedName name="STWBD_StatToolsScatterplot_XVariableList" hidden="1">1</definedName>
    <definedName name="STWBD_StatToolsScatterplot_XVariableList_1" hidden="1">"U_x0001_VG19EFF10D266AB63A_x0001_"</definedName>
    <definedName name="STWBD_StatToolsScatterplot_YVariableList" hidden="1">1</definedName>
    <definedName name="STWBD_StatToolsScatterplot_YVariableList_1" hidden="1">"U_x0001_VG245675C615EF49A0_x0001_"</definedName>
    <definedName name="STWBD_StatToolsTransform_CustomFunction" hidden="1">""</definedName>
    <definedName name="STWBD_StatToolsTransform_HasDefaultInfo" hidden="1">"TRUE"</definedName>
    <definedName name="STWBD_StatToolsTransform_Shift" hidden="1">" 0"</definedName>
    <definedName name="STWBD_StatToolsTransform_TransformationType" hidden="1">" 0"</definedName>
    <definedName name="STWBD_StatToolsTransform_VariableList" hidden="1">2</definedName>
    <definedName name="STWBD_StatToolsTransform_VariableList_1" hidden="1">"U_x0001_VG28EF555E3427CED0_x0001_"</definedName>
    <definedName name="STWBD_StatToolsTransform_VariableList_2" hidden="1">"U_x0001_VG2CD17C5B1221B798_x0001_"</definedName>
    <definedName name="STWBD_StatToolsTransform_VarSelectorDefaultDataSet" hidden="1">"DG26EB08C4"</definedName>
    <definedName name="tbl_2007_title_description_country">#REF!</definedName>
  </definedNames>
  <calcPr calcId="152511"/>
</workbook>
</file>

<file path=xl/calcChain.xml><?xml version="1.0" encoding="utf-8"?>
<calcChain xmlns="http://schemas.openxmlformats.org/spreadsheetml/2006/main">
  <c r="B9" i="4" l="1"/>
  <c r="B73" i="4"/>
  <c r="B70" i="4"/>
  <c r="B67" i="4"/>
  <c r="B64" i="4"/>
  <c r="B61" i="4"/>
  <c r="B58" i="4"/>
  <c r="B55" i="4"/>
  <c r="B52" i="4"/>
  <c r="B49" i="4"/>
  <c r="B46" i="4"/>
  <c r="B43" i="4"/>
  <c r="B40" i="4"/>
  <c r="B37" i="4"/>
  <c r="B34" i="4"/>
  <c r="B31" i="4"/>
  <c r="B28" i="4"/>
  <c r="B25" i="4"/>
  <c r="B22" i="4"/>
  <c r="B19" i="4"/>
  <c r="B16" i="4"/>
  <c r="B13" i="4"/>
  <c r="B7" i="4"/>
  <c r="B3" i="4"/>
  <c r="W5" i="2"/>
  <c r="V48" i="2"/>
  <c r="C13" i="6"/>
  <c r="W42" i="2"/>
  <c r="V85" i="2"/>
  <c r="O23" i="6"/>
  <c r="V70" i="2"/>
  <c r="E22" i="6"/>
  <c r="P24" i="6"/>
  <c r="M21" i="6"/>
  <c r="D14" i="6"/>
  <c r="V34" i="2"/>
  <c r="I17" i="6"/>
  <c r="W28" i="2"/>
  <c r="V71" i="2"/>
  <c r="N25" i="6"/>
  <c r="B23" i="6"/>
  <c r="D15" i="6"/>
  <c r="K22" i="6"/>
  <c r="E14" i="6"/>
  <c r="W25" i="2"/>
  <c r="V68" i="2"/>
  <c r="D26" i="6"/>
  <c r="W62" i="2"/>
  <c r="O26" i="6"/>
  <c r="K20" i="6"/>
  <c r="P25" i="6"/>
  <c r="F25" i="6"/>
  <c r="V61" i="2"/>
  <c r="V83" i="2"/>
  <c r="V10" i="2"/>
  <c r="G22" i="6"/>
  <c r="W4" i="2"/>
  <c r="V47" i="2"/>
  <c r="E13" i="6"/>
  <c r="W49" i="2"/>
  <c r="B119" i="7"/>
  <c r="N22" i="6"/>
  <c r="W86" i="2"/>
  <c r="L23" i="6"/>
  <c r="C15" i="6"/>
  <c r="V46" i="2"/>
  <c r="C14" i="6"/>
  <c r="K25" i="6"/>
  <c r="W37" i="2"/>
  <c r="K24" i="6"/>
  <c r="F18" i="6"/>
  <c r="G20" i="6"/>
  <c r="C20" i="6"/>
  <c r="V66" i="2"/>
  <c r="W60" i="2"/>
  <c r="B27" i="6"/>
  <c r="F21" i="6"/>
  <c r="B21" i="6"/>
  <c r="W57" i="2"/>
  <c r="J21" i="6"/>
  <c r="I22" i="6"/>
  <c r="W32" i="2"/>
  <c r="B19" i="6"/>
  <c r="V42" i="2"/>
  <c r="W36" i="2"/>
  <c r="V79" i="2"/>
  <c r="W81" i="2"/>
  <c r="G16" i="6"/>
  <c r="C18" i="6"/>
  <c r="V78" i="2"/>
  <c r="L21" i="6"/>
  <c r="P27" i="6"/>
  <c r="V5" i="2"/>
  <c r="D13" i="6"/>
  <c r="W29" i="2"/>
  <c r="J22" i="6"/>
  <c r="V82" i="2"/>
  <c r="W76" i="2"/>
  <c r="C25" i="6"/>
  <c r="W16" i="2"/>
  <c r="W18" i="2"/>
  <c r="W73" i="2"/>
  <c r="H18" i="6"/>
  <c r="J19" i="6"/>
  <c r="B20" i="6"/>
  <c r="W15" i="2"/>
  <c r="G27" i="6"/>
  <c r="H22" i="6"/>
  <c r="C22" i="6"/>
  <c r="V49" i="2"/>
  <c r="W51" i="2"/>
  <c r="W8" i="2"/>
  <c r="W87" i="2"/>
  <c r="V38" i="2"/>
  <c r="V77" i="2"/>
  <c r="E17" i="6"/>
  <c r="D27" i="6"/>
  <c r="W56" i="2"/>
  <c r="I20" i="6"/>
  <c r="V60" i="2"/>
  <c r="N27" i="6"/>
  <c r="K21" i="6"/>
  <c r="B81" i="7"/>
  <c r="W12" i="2"/>
  <c r="V86" i="2"/>
  <c r="F24" i="6"/>
  <c r="W46" i="2"/>
  <c r="G23" i="6"/>
  <c r="V13" i="2"/>
  <c r="L24" i="6"/>
  <c r="G18" i="6"/>
  <c r="O25" i="6"/>
  <c r="I18" i="6"/>
  <c r="W21" i="2"/>
  <c r="V64" i="2"/>
  <c r="L26" i="6"/>
  <c r="W58" i="2"/>
  <c r="F27" i="6"/>
  <c r="H21" i="6"/>
  <c r="E25" i="6"/>
  <c r="E27" i="6"/>
  <c r="D16" i="6"/>
  <c r="R26" i="6"/>
  <c r="W7" i="2"/>
  <c r="V50" i="2"/>
  <c r="B12" i="6"/>
  <c r="W44" i="2"/>
  <c r="V87" i="2"/>
  <c r="K23" i="6"/>
  <c r="O27" i="6"/>
  <c r="C23" i="6"/>
  <c r="K27" i="6"/>
  <c r="L22" i="6"/>
  <c r="W41" i="2"/>
  <c r="V84" i="2"/>
  <c r="C24" i="6"/>
  <c r="W78" i="2"/>
  <c r="N24" i="6"/>
  <c r="F17" i="6"/>
  <c r="D18" i="6"/>
  <c r="B17" i="6"/>
  <c r="G26" i="6"/>
  <c r="L20" i="6"/>
  <c r="V26" i="2"/>
  <c r="H19" i="6"/>
  <c r="W20" i="2"/>
  <c r="V63" i="2"/>
  <c r="N26" i="6"/>
  <c r="W65" i="2"/>
  <c r="I26" i="6"/>
  <c r="E20" i="6"/>
  <c r="V17" i="2"/>
  <c r="E21" i="6"/>
  <c r="W19" i="2"/>
  <c r="V62" i="2"/>
  <c r="P26" i="6"/>
  <c r="G17" i="6"/>
  <c r="V80" i="2"/>
  <c r="W74" i="2"/>
  <c r="G25" i="6"/>
  <c r="H16" i="6"/>
  <c r="L25" i="6"/>
  <c r="W23" i="2"/>
  <c r="H26" i="6"/>
  <c r="B18" i="6"/>
  <c r="W13" i="2"/>
  <c r="O24" i="6"/>
  <c r="H27" i="6"/>
  <c r="V9" i="2"/>
  <c r="B10" i="6"/>
  <c r="V72" i="2"/>
  <c r="E24" i="6"/>
  <c r="F15" i="6"/>
  <c r="M24" i="6"/>
  <c r="H24" i="6"/>
  <c r="V33" i="2"/>
  <c r="W35" i="2"/>
  <c r="C16" i="6"/>
  <c r="W53" i="2"/>
  <c r="F22" i="6"/>
  <c r="D23" i="6"/>
  <c r="M23" i="6"/>
  <c r="H17" i="6"/>
  <c r="W39" i="2"/>
  <c r="G24" i="6"/>
  <c r="W11" i="2"/>
  <c r="W45" i="2"/>
  <c r="V19" i="2"/>
  <c r="I25" i="6"/>
  <c r="V25" i="2"/>
  <c r="W27" i="2"/>
  <c r="W80" i="2"/>
  <c r="B25" i="6"/>
  <c r="V58" i="2"/>
  <c r="W52" i="2"/>
  <c r="R27" i="6"/>
  <c r="V12" i="2"/>
  <c r="W6" i="2"/>
  <c r="D12" i="6"/>
  <c r="B43" i="7"/>
  <c r="J23" i="6"/>
  <c r="V56" i="2"/>
  <c r="V36" i="2"/>
  <c r="W30" i="2"/>
  <c r="J25" i="6"/>
  <c r="W50" i="2"/>
  <c r="M26" i="6"/>
  <c r="W17" i="2"/>
  <c r="W54" i="2"/>
  <c r="D22" i="6"/>
  <c r="E18" i="6"/>
  <c r="V22" i="2"/>
  <c r="B24" i="7"/>
  <c r="F26" i="6"/>
  <c r="V55" i="2"/>
  <c r="K26" i="6"/>
  <c r="W9" i="2"/>
  <c r="S27" i="6"/>
  <c r="F20" i="6"/>
  <c r="V35" i="2"/>
  <c r="D17" i="6"/>
  <c r="W33" i="2"/>
  <c r="W70" i="2"/>
  <c r="E19" i="6"/>
  <c r="V51" i="2"/>
  <c r="W69" i="2"/>
  <c r="Q25" i="6"/>
  <c r="G19" i="6"/>
  <c r="V21" i="2"/>
  <c r="H20" i="6"/>
  <c r="D21" i="6"/>
  <c r="B13" i="6"/>
  <c r="W61" i="2"/>
  <c r="W34" i="2"/>
  <c r="W72" i="2"/>
  <c r="W55" i="2"/>
  <c r="L27" i="6"/>
  <c r="B22" i="6"/>
  <c r="V7" i="2"/>
  <c r="M22" i="6"/>
  <c r="W59" i="2"/>
  <c r="W48" i="2"/>
  <c r="W77" i="2"/>
  <c r="W66" i="2"/>
  <c r="J27" i="6"/>
  <c r="V4" i="2"/>
  <c r="F23" i="6"/>
  <c r="B14" i="6"/>
  <c r="V41" i="2"/>
  <c r="B16" i="6"/>
  <c r="V6" i="2"/>
  <c r="V27" i="2"/>
  <c r="I23" i="6"/>
  <c r="E16" i="6"/>
  <c r="W31" i="2"/>
  <c r="V74" i="2"/>
  <c r="H25" i="6"/>
  <c r="W68" i="2"/>
  <c r="C26" i="6"/>
  <c r="I19" i="6"/>
  <c r="V28" i="2"/>
  <c r="D19" i="6"/>
  <c r="W22" i="2"/>
  <c r="V65" i="2"/>
  <c r="J26" i="6"/>
  <c r="W67" i="2"/>
  <c r="E26" i="6"/>
  <c r="W24" i="2"/>
  <c r="W85" i="2"/>
  <c r="N23" i="6"/>
  <c r="E15" i="6"/>
  <c r="V37" i="2"/>
  <c r="C17" i="6"/>
  <c r="C12" i="6"/>
  <c r="W64" i="2"/>
  <c r="V8" i="2"/>
  <c r="W82" i="2"/>
  <c r="V67" i="2"/>
  <c r="W71" i="2"/>
  <c r="M25" i="6"/>
  <c r="C19" i="6"/>
  <c r="V23" i="2"/>
  <c r="D20" i="6"/>
  <c r="W75" i="2"/>
  <c r="V11" i="2"/>
  <c r="V24" i="2"/>
  <c r="V29" i="2"/>
  <c r="B11" i="6"/>
  <c r="V20" i="2"/>
  <c r="J20" i="6"/>
  <c r="W14" i="2"/>
  <c r="V57" i="2"/>
  <c r="I27" i="6"/>
  <c r="V54" i="2"/>
  <c r="V75" i="2"/>
  <c r="C11" i="6"/>
  <c r="K19" i="6"/>
  <c r="W47" i="2"/>
  <c r="B62" i="7"/>
  <c r="E23" i="6"/>
  <c r="W84" i="2"/>
  <c r="B24" i="6"/>
  <c r="G15" i="6"/>
  <c r="V44" i="2"/>
  <c r="B15" i="6"/>
  <c r="W38" i="2"/>
  <c r="V81" i="2"/>
  <c r="I24" i="6"/>
  <c r="W83" i="2"/>
  <c r="D24" i="6"/>
  <c r="W40" i="2"/>
  <c r="V16" i="2"/>
  <c r="G21" i="6"/>
  <c r="W10" i="2"/>
  <c r="V53" i="2"/>
  <c r="Q27" i="6"/>
  <c r="W43" i="2"/>
  <c r="V43" i="2"/>
  <c r="V40" i="2"/>
  <c r="V45" i="2"/>
  <c r="H23" i="6"/>
  <c r="F14" i="6"/>
  <c r="V39" i="2"/>
  <c r="F16" i="6"/>
  <c r="V59" i="2"/>
  <c r="J18" i="6"/>
  <c r="V73" i="2"/>
  <c r="J24" i="6"/>
  <c r="W63" i="2"/>
  <c r="V15" i="2"/>
  <c r="I21" i="6"/>
  <c r="C27" i="6"/>
  <c r="V14" i="2"/>
  <c r="W88" i="2"/>
  <c r="V32" i="2"/>
  <c r="W26" i="2"/>
  <c r="V69" i="2"/>
  <c r="B26" i="6"/>
  <c r="V88" i="2"/>
  <c r="V18" i="2"/>
  <c r="C21" i="6"/>
  <c r="M27" i="6"/>
  <c r="Q26" i="6"/>
  <c r="V52" i="2"/>
  <c r="B100" i="7"/>
  <c r="F19" i="6"/>
  <c r="W79" i="2"/>
  <c r="V31" i="2"/>
  <c r="V76" i="2"/>
  <c r="D25" i="6"/>
  <c r="V30" i="2"/>
  <c r="B76" i="4" l="1"/>
  <c r="B79" i="4"/>
  <c r="L24" i="7"/>
</calcChain>
</file>

<file path=xl/sharedStrings.xml><?xml version="1.0" encoding="utf-8"?>
<sst xmlns="http://schemas.openxmlformats.org/spreadsheetml/2006/main" count="359" uniqueCount="285">
  <si>
    <t>Total Revenue</t>
  </si>
  <si>
    <t>EBITDA</t>
  </si>
  <si>
    <t>Operating Income</t>
  </si>
  <si>
    <t>Net Income</t>
  </si>
  <si>
    <t>Total Assets</t>
  </si>
  <si>
    <t>Current Assets</t>
  </si>
  <si>
    <t>Total Liabilities</t>
  </si>
  <si>
    <t>Current Liabilities</t>
  </si>
  <si>
    <t>Long Term Debt</t>
  </si>
  <si>
    <t>Stockholders' Equity</t>
  </si>
  <si>
    <t>Profitability Ratios</t>
  </si>
  <si>
    <t>ROA % (Net)</t>
  </si>
  <si>
    <t>ROE % (Net)</t>
  </si>
  <si>
    <t>ROI % (Operating)</t>
  </si>
  <si>
    <t>EBITDA Margin %</t>
  </si>
  <si>
    <t>Calculated Tax Rate %</t>
  </si>
  <si>
    <t>Liquidity Indicators</t>
  </si>
  <si>
    <t>Quick Ratio</t>
  </si>
  <si>
    <t>Current Ratio</t>
  </si>
  <si>
    <t>Net Current Assets % TA</t>
  </si>
  <si>
    <t>Company</t>
  </si>
  <si>
    <t>As of Date</t>
  </si>
  <si>
    <t>Financial Summary</t>
  </si>
  <si>
    <t>3Com Corp.</t>
  </si>
  <si>
    <t>AML Communications Inc.</t>
  </si>
  <si>
    <t>ARGON ST Inc</t>
  </si>
  <si>
    <t>Agilent Technologies, Inc.</t>
  </si>
  <si>
    <t>American Science &amp; Engineering Inc</t>
  </si>
  <si>
    <t>Analog Devices, Inc.</t>
  </si>
  <si>
    <t>Anaren Inc</t>
  </si>
  <si>
    <t>Apple Inc</t>
  </si>
  <si>
    <t>Applied Signal Technology, Inc.</t>
  </si>
  <si>
    <t>Astro-Med, Inc.</t>
  </si>
  <si>
    <t>Biosynergy, Inc.</t>
  </si>
  <si>
    <t>Biotel, Inc.</t>
  </si>
  <si>
    <t>Blue Coat Systems Inc</t>
  </si>
  <si>
    <t>Broadcom Corp.</t>
  </si>
  <si>
    <t>CPI International Inc</t>
  </si>
  <si>
    <t>Cabot Microelectronics Corp</t>
  </si>
  <si>
    <t>Cemtrex Inc</t>
  </si>
  <si>
    <t>Cirrus Logic, Inc.</t>
  </si>
  <si>
    <t>Cisco Systems, Inc.</t>
  </si>
  <si>
    <t>ClearOne Communications Inc</t>
  </si>
  <si>
    <t>Comtech Telecommunications Corp.</t>
  </si>
  <si>
    <t>Corning, Inc.</t>
  </si>
  <si>
    <t>Cree, Inc.</t>
  </si>
  <si>
    <t>Cubic Corp</t>
  </si>
  <si>
    <t>Cyberonics, Inc.</t>
  </si>
  <si>
    <t>Daktronics Inc.</t>
  </si>
  <si>
    <t>Dell Inc</t>
  </si>
  <si>
    <t>Digi International, Inc.</t>
  </si>
  <si>
    <t>Dionex Corp.</t>
  </si>
  <si>
    <t>Dolby Laboratories Inc</t>
  </si>
  <si>
    <t>Dynatronics Corp.</t>
  </si>
  <si>
    <t>Emulex Corporation</t>
  </si>
  <si>
    <t>Encision Inc.</t>
  </si>
  <si>
    <t>Extreme Networks, Inc.</t>
  </si>
  <si>
    <t>F5 Networks, Inc.</t>
  </si>
  <si>
    <t>GSI Technology Inc</t>
  </si>
  <si>
    <t>GT Solar International Inc</t>
  </si>
  <si>
    <t>Globecomm Systems Inc.</t>
  </si>
  <si>
    <t>Hewlett-Packard Co</t>
  </si>
  <si>
    <t>IXYS Corp.</t>
  </si>
  <si>
    <t>Irvine Sensors Corp.</t>
  </si>
  <si>
    <t>Iteris Inc</t>
  </si>
  <si>
    <t>Key Tronic Corp.</t>
  </si>
  <si>
    <t>Linear Technology Corp.</t>
  </si>
  <si>
    <t>MIPS Technologies, Inc.</t>
  </si>
  <si>
    <t>MTS Systems Corp.</t>
  </si>
  <si>
    <t>MagneTek, Inc.</t>
  </si>
  <si>
    <t>Maxim Integrated Products, Inc.</t>
  </si>
  <si>
    <t>Medtronic, Inc.</t>
  </si>
  <si>
    <t>Mercury Computer Systems, Inc.</t>
  </si>
  <si>
    <t>Mesa Laboratories, Inc.</t>
  </si>
  <si>
    <t>Mettler-Toledo International, Inc.</t>
  </si>
  <si>
    <t>Microchip Technology, Inc.</t>
  </si>
  <si>
    <t>Multi-Fineline Electronix Inc</t>
  </si>
  <si>
    <t>NVE Corp</t>
  </si>
  <si>
    <t>National Semiconductor Corp.</t>
  </si>
  <si>
    <t>Netapp, Inc.</t>
  </si>
  <si>
    <t>Netezza Corp</t>
  </si>
  <si>
    <t>Notify Technology Corp.</t>
  </si>
  <si>
    <t>OSI Systems, Inc.</t>
  </si>
  <si>
    <t>OYO Geospace Corp.</t>
  </si>
  <si>
    <t>Pericom Semiconductor Corp.</t>
  </si>
  <si>
    <t>Qualcomm, Inc.</t>
  </si>
  <si>
    <t>RF Industries Ltd.</t>
  </si>
  <si>
    <t>Scientific Industries, Inc.</t>
  </si>
  <si>
    <t>SeaChange International Inc.</t>
  </si>
  <si>
    <t>Semtech Corp.</t>
  </si>
  <si>
    <t>Sigma Designs, Inc.</t>
  </si>
  <si>
    <t>Skyworks Solutions, Inc.</t>
  </si>
  <si>
    <t>Super Micro Computer Inc</t>
  </si>
  <si>
    <t>Supertex, Inc.</t>
  </si>
  <si>
    <t>Synergetics USA Inc</t>
  </si>
  <si>
    <t>Technical Communications Corp.</t>
  </si>
  <si>
    <t>Tel Instrument Electronics Corp.</t>
  </si>
  <si>
    <t>Telular Corp.</t>
  </si>
  <si>
    <t>Torotel, Inc.</t>
  </si>
  <si>
    <t>Varian Medical Systems, Inc.</t>
  </si>
  <si>
    <t>Varian, Inc.</t>
  </si>
  <si>
    <t>ViaSat, Inc.</t>
  </si>
  <si>
    <t>Western Digital Corp.</t>
  </si>
  <si>
    <t>White Electronic Designs Corp.</t>
  </si>
  <si>
    <t>Xilinx, Inc.</t>
  </si>
  <si>
    <t>Zoll Medical Corp.</t>
  </si>
  <si>
    <t>e.Digital Corp.</t>
  </si>
  <si>
    <t>R&amp;D</t>
  </si>
  <si>
    <t>Risk (George) Industries Inc</t>
  </si>
  <si>
    <t>US Publicly Traded Companies with NAICS code 334</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</si>
  <si>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</si>
  <si>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</si>
  <si>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</si>
  <si>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</si>
  <si>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</si>
  <si>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</si>
  <si>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</si>
  <si>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</si>
  <si>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</si>
  <si>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</si>
  <si>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</si>
  <si>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</si>
  <si>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DG26EB08C4</t>
  </si>
  <si>
    <t>Format Range</t>
  </si>
  <si>
    <t>Variable Layout</t>
  </si>
  <si>
    <t>Columns</t>
  </si>
  <si>
    <t>Variable Names In Cells</t>
  </si>
  <si>
    <t>Variable Names In 2nd Cells</t>
  </si>
  <si>
    <t>Data Set Ranges</t>
  </si>
  <si>
    <t>Data Sheet Format</t>
  </si>
  <si>
    <t>Formula Eval Cell</t>
  </si>
  <si>
    <t>Num Stored Vars</t>
  </si>
  <si>
    <t>1 : Info</t>
  </si>
  <si>
    <t>VG1918BD2125E7037</t>
  </si>
  <si>
    <t>var1</t>
  </si>
  <si>
    <t>ST_Company</t>
  </si>
  <si>
    <t>1 : Ranges</t>
  </si>
  <si>
    <t>1 : MultiRefs</t>
  </si>
  <si>
    <t>2 : Info</t>
  </si>
  <si>
    <t>VG23E2C4525CE6E4C</t>
  </si>
  <si>
    <t>var2</t>
  </si>
  <si>
    <t>ST_AsofDate</t>
  </si>
  <si>
    <t>2 : Ranges</t>
  </si>
  <si>
    <t>2 : MultiRefs</t>
  </si>
  <si>
    <t>3 : Info</t>
  </si>
  <si>
    <t>VG2CD17C5B1221B798</t>
  </si>
  <si>
    <t>var3</t>
  </si>
  <si>
    <t>ST_TotalRevenue</t>
  </si>
  <si>
    <t>3 : Ranges</t>
  </si>
  <si>
    <t>3 : MultiRefs</t>
  </si>
  <si>
    <t>4 : Info</t>
  </si>
  <si>
    <t>ST_RD</t>
  </si>
  <si>
    <t>4 : Ranges</t>
  </si>
  <si>
    <t>4 : MultiRefs</t>
  </si>
  <si>
    <t>5 : Info</t>
  </si>
  <si>
    <t>VG112C78941EF09663</t>
  </si>
  <si>
    <t>var5</t>
  </si>
  <si>
    <t>ST_EBITDA</t>
  </si>
  <si>
    <t>5 : Ranges</t>
  </si>
  <si>
    <t>5 : MultiRefs</t>
  </si>
  <si>
    <t>6 : Info</t>
  </si>
  <si>
    <t>VG192C773A158EA84C</t>
  </si>
  <si>
    <t>var6</t>
  </si>
  <si>
    <t>ST_OperatingIncome</t>
  </si>
  <si>
    <t>6 : Ranges</t>
  </si>
  <si>
    <t>6 : MultiRefs</t>
  </si>
  <si>
    <t>7 : Info</t>
  </si>
  <si>
    <t>VG10EB7130DF68B92</t>
  </si>
  <si>
    <t>var7</t>
  </si>
  <si>
    <t>ST_NetIncome</t>
  </si>
  <si>
    <t>7 : Ranges</t>
  </si>
  <si>
    <t>7 : MultiRefs</t>
  </si>
  <si>
    <t>8 : Info</t>
  </si>
  <si>
    <t>VG19031928B679295</t>
  </si>
  <si>
    <t>var8</t>
  </si>
  <si>
    <t>ST_TotalAssets</t>
  </si>
  <si>
    <t>8 : Ranges</t>
  </si>
  <si>
    <t>8 : MultiRefs</t>
  </si>
  <si>
    <t>9 : Info</t>
  </si>
  <si>
    <t>VG22962A9EE3CA8F3</t>
  </si>
  <si>
    <t>var9</t>
  </si>
  <si>
    <t>ST_CurrentAssets</t>
  </si>
  <si>
    <t>9 : Ranges</t>
  </si>
  <si>
    <t>9 : MultiRefs</t>
  </si>
  <si>
    <t>10 : Info</t>
  </si>
  <si>
    <t>VG3A14F48043C769A</t>
  </si>
  <si>
    <t>var10</t>
  </si>
  <si>
    <t>ST_TotalLiabilities</t>
  </si>
  <si>
    <t>10 : Ranges</t>
  </si>
  <si>
    <t>10 : MultiRefs</t>
  </si>
  <si>
    <t>11 : Info</t>
  </si>
  <si>
    <t>VG2149F6E629D5C393</t>
  </si>
  <si>
    <t>var11</t>
  </si>
  <si>
    <t>ST_CurrentLiabilities</t>
  </si>
  <si>
    <t>11 : Ranges</t>
  </si>
  <si>
    <t>11 : MultiRefs</t>
  </si>
  <si>
    <t>12 : Info</t>
  </si>
  <si>
    <t>VG26486CBE8C1FC07</t>
  </si>
  <si>
    <t>var12</t>
  </si>
  <si>
    <t>ST_LongTermDebt</t>
  </si>
  <si>
    <t>12 : Ranges</t>
  </si>
  <si>
    <t>12 : MultiRefs</t>
  </si>
  <si>
    <t>13 : Info</t>
  </si>
  <si>
    <t>VG146FF0AC218C20A1</t>
  </si>
  <si>
    <t>var13</t>
  </si>
  <si>
    <t>ST_StockholdersEquity</t>
  </si>
  <si>
    <t>13 : Ranges</t>
  </si>
  <si>
    <t>13 : MultiRefs</t>
  </si>
  <si>
    <t>14 : Info</t>
  </si>
  <si>
    <t>VG27C2CAF31DC669CB</t>
  </si>
  <si>
    <t>var14</t>
  </si>
  <si>
    <t>ST_ROANet</t>
  </si>
  <si>
    <t>14 : Ranges</t>
  </si>
  <si>
    <t>14 : MultiRefs</t>
  </si>
  <si>
    <t>15 : Info</t>
  </si>
  <si>
    <t>VGF2454BCA4632DB</t>
  </si>
  <si>
    <t>var15</t>
  </si>
  <si>
    <t>ST_ROENet</t>
  </si>
  <si>
    <t>15 : Ranges</t>
  </si>
  <si>
    <t>15 : MultiRefs</t>
  </si>
  <si>
    <t>16 : Info</t>
  </si>
  <si>
    <t>VG38A638736395EC9</t>
  </si>
  <si>
    <t>var16</t>
  </si>
  <si>
    <t>ST_ROIOperating</t>
  </si>
  <si>
    <t>16 : Ranges</t>
  </si>
  <si>
    <t>16 : MultiRefs</t>
  </si>
  <si>
    <t>17 : Info</t>
  </si>
  <si>
    <t>VG1E848E11AE6E271</t>
  </si>
  <si>
    <t>var17</t>
  </si>
  <si>
    <t>ST_EBITDAMargin</t>
  </si>
  <si>
    <t>17 : Ranges</t>
  </si>
  <si>
    <t>17 : MultiRefs</t>
  </si>
  <si>
    <t>18 : Info</t>
  </si>
  <si>
    <t>VG371B5288341A3CFB</t>
  </si>
  <si>
    <t>var18</t>
  </si>
  <si>
    <t>ST_CalculatedTaxRate</t>
  </si>
  <si>
    <t>18 : Ranges</t>
  </si>
  <si>
    <t>18 : MultiRefs</t>
  </si>
  <si>
    <t>19 : Info</t>
  </si>
  <si>
    <t>VGB492A5B29148771</t>
  </si>
  <si>
    <t>var19</t>
  </si>
  <si>
    <t>ST_QuickRatio</t>
  </si>
  <si>
    <t>19 : Ranges</t>
  </si>
  <si>
    <t>19 : MultiRefs</t>
  </si>
  <si>
    <t>20 : Info</t>
  </si>
  <si>
    <t>VG26BDE6C33E8111C</t>
  </si>
  <si>
    <t>var20</t>
  </si>
  <si>
    <t>ST_CurrentRatio</t>
  </si>
  <si>
    <t>20 : Ranges</t>
  </si>
  <si>
    <t>20 : MultiRefs</t>
  </si>
  <si>
    <t>21 : Info</t>
  </si>
  <si>
    <t>VG18B1A90924E696AE</t>
  </si>
  <si>
    <t>var21</t>
  </si>
  <si>
    <t>ST_NetCurrentAssetsTA</t>
  </si>
  <si>
    <t>21 : Ranges</t>
  </si>
  <si>
    <t>21 : MultiRefs</t>
  </si>
  <si>
    <t>VG28EF555E3427CED0</t>
  </si>
  <si>
    <t>StatTools</t>
  </si>
  <si>
    <t>(Core Analysis Pack)</t>
  </si>
  <si>
    <t>Analysis:</t>
  </si>
  <si>
    <t>Correlation and Covariance</t>
  </si>
  <si>
    <t>Performed By:</t>
  </si>
  <si>
    <t xml:space="preserve"> Chris Albright</t>
  </si>
  <si>
    <t>Date:</t>
  </si>
  <si>
    <t>Updating:</t>
  </si>
  <si>
    <t>Live</t>
  </si>
  <si>
    <t>Correlation Table</t>
  </si>
  <si>
    <t>Cutoffs</t>
  </si>
  <si>
    <t>Positive</t>
  </si>
  <si>
    <t>Negative</t>
  </si>
  <si>
    <t>Scatterplot</t>
  </si>
  <si>
    <t>Correlation</t>
  </si>
  <si>
    <t>Log(R&amp;D)</t>
  </si>
  <si>
    <t>22 : Info</t>
  </si>
  <si>
    <t>VG245675C615EF49A0</t>
  </si>
  <si>
    <t>ST_LogRD</t>
  </si>
  <si>
    <t>22 : Ranges</t>
  </si>
  <si>
    <t>22 : MultiRefs</t>
  </si>
  <si>
    <t>Log(Total Revenue)</t>
  </si>
  <si>
    <t>23 : Info</t>
  </si>
  <si>
    <t>VG19EFF10D266AB63A</t>
  </si>
  <si>
    <t>ST_LogTotalRevenue</t>
  </si>
  <si>
    <t>23 : Ranges</t>
  </si>
  <si>
    <t>23 : MultiRefs</t>
  </si>
  <si>
    <t>Wednesday, February 08,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</si>
</sst>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rgb="FF000000"/>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1"/>
      <color rgb="FF000000"/>
      <name val="Calibri"/>
      <family val="2"/>
      <scheme val="minor"/>
    </font>
    <font>
      <b/>
      <sz val="11"/>
      <color rgb="FF000000"/>
      <name val="Calibri"/>
      <family val="2"/>
    </font>
    <font>
      <sz val="8"/>
      <color rgb="FF000000"/>
      <name val="Calibri"/>
      <family val="2"/>
    </font>
    <font>
      <b/>
      <sz val="8"/>
      <color rgb="FF000000"/>
      <name val="Calibri"/>
      <family val="2"/>
    </font>
    <font>
      <b/>
      <sz val="14"/>
      <color rgb="FF000000"/>
      <name val="Calibri"/>
      <family val="2"/>
    </font>
    <font>
      <b/>
      <i/>
      <sz val="8"/>
      <color rgb="FF000000"/>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bottom style="double">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29">
    <xf numFmtId="0" fontId="0" fillId="0" borderId="0" xfId="0"/>
    <xf numFmtId="0" fontId="0" fillId="0" borderId="0" xfId="0"/>
    <xf numFmtId="0" fontId="16" fillId="0" borderId="0" xfId="0" applyFont="1"/>
    <xf numFmtId="3" fontId="0" fillId="0" borderId="0" xfId="0" applyNumberFormat="1"/>
    <xf numFmtId="0" fontId="19" fillId="0" borderId="0" xfId="0" applyFont="1"/>
    <xf numFmtId="0" fontId="20" fillId="0" borderId="0" xfId="0" applyFont="1"/>
    <xf numFmtId="0" fontId="20" fillId="0" borderId="0" xfId="0" applyFont="1" applyAlignment="1">
      <alignment horizontal="right" wrapText="1"/>
    </xf>
    <xf numFmtId="0" fontId="0" fillId="0" borderId="0" xfId="0" applyAlignment="1">
      <alignment horizontal="left"/>
    </xf>
    <xf numFmtId="0" fontId="20" fillId="0" borderId="0" xfId="0" applyFont="1" applyAlignment="1">
      <alignment horizontal="left"/>
    </xf>
    <xf numFmtId="14" fontId="0" fillId="0" borderId="0" xfId="0" applyNumberFormat="1" applyAlignment="1">
      <alignment horizontal="left"/>
    </xf>
    <xf numFmtId="0" fontId="21" fillId="33" borderId="0" xfId="0" applyFont="1" applyFill="1"/>
    <xf numFmtId="0" fontId="21" fillId="33" borderId="10" xfId="0" applyFont="1" applyFill="1" applyBorder="1"/>
    <xf numFmtId="0" fontId="23" fillId="33" borderId="0" xfId="0" applyFont="1" applyFill="1" applyAlignment="1">
      <alignment horizontal="right"/>
    </xf>
    <xf numFmtId="0" fontId="22" fillId="33" borderId="0" xfId="0" applyFont="1" applyFill="1" applyAlignment="1">
      <alignment horizontal="right"/>
    </xf>
    <xf numFmtId="0" fontId="22" fillId="33" borderId="10" xfId="0" applyFont="1" applyFill="1" applyBorder="1" applyAlignment="1">
      <alignment horizontal="right"/>
    </xf>
    <xf numFmtId="0" fontId="21" fillId="33" borderId="0" xfId="0" applyFont="1" applyFill="1" applyAlignment="1">
      <alignment horizontal="left"/>
    </xf>
    <xf numFmtId="0" fontId="21" fillId="33" borderId="10" xfId="0" applyFont="1" applyFill="1" applyBorder="1" applyAlignment="1">
      <alignment horizontal="left"/>
    </xf>
    <xf numFmtId="49" fontId="22" fillId="0" borderId="0" xfId="0" applyNumberFormat="1" applyFont="1" applyAlignment="1">
      <alignment horizontal="center"/>
    </xf>
    <xf numFmtId="49" fontId="22" fillId="0" borderId="11" xfId="0" applyNumberFormat="1" applyFont="1" applyFill="1" applyBorder="1" applyAlignment="1">
      <alignment horizontal="center"/>
    </xf>
    <xf numFmtId="49" fontId="22" fillId="0" borderId="0" xfId="0" applyNumberFormat="1" applyFont="1" applyAlignment="1">
      <alignment horizontal="left"/>
    </xf>
    <xf numFmtId="49" fontId="24" fillId="0" borderId="0" xfId="0" applyNumberFormat="1" applyFont="1" applyAlignment="1">
      <alignment horizontal="left"/>
    </xf>
    <xf numFmtId="49" fontId="24" fillId="0" borderId="11" xfId="0" applyNumberFormat="1" applyFont="1" applyFill="1" applyBorder="1" applyAlignment="1">
      <alignment horizontal="left"/>
    </xf>
    <xf numFmtId="164" fontId="0" fillId="0" borderId="0" xfId="0" applyNumberFormat="1" applyAlignment="1">
      <alignment horizontal="center"/>
    </xf>
    <xf numFmtId="0" fontId="21" fillId="0" borderId="0" xfId="0" applyFont="1"/>
    <xf numFmtId="164" fontId="21" fillId="0" borderId="0" xfId="0" applyNumberFormat="1" applyFont="1" applyAlignment="1">
      <alignment horizontal="center"/>
    </xf>
    <xf numFmtId="0" fontId="0" fillId="0" borderId="0" xfId="0" applyAlignment="1">
      <alignment horizontal="right"/>
    </xf>
    <xf numFmtId="14" fontId="19" fillId="0" borderId="0" xfId="0" applyNumberFormat="1" applyFont="1" applyAlignment="1">
      <alignment horizontal="center"/>
    </xf>
    <xf numFmtId="14" fontId="20" fillId="0" borderId="0" xfId="0" applyNumberFormat="1" applyFont="1" applyAlignment="1">
      <alignment horizontal="center"/>
    </xf>
    <xf numFmtId="14" fontId="0" fillId="0" borderId="0" xfId="0" applyNumberFormat="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Operating Income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Scatterplot!ScatterX_3683D</c:f>
              <c:numCache>
                <c:formatCode>General</c:formatCode>
                <c:ptCount val="85"/>
                <c:pt idx="0">
                  <c:v>100692000</c:v>
                </c:pt>
                <c:pt idx="1">
                  <c:v>47000000</c:v>
                </c:pt>
                <c:pt idx="2">
                  <c:v>42024000</c:v>
                </c:pt>
                <c:pt idx="3">
                  <c:v>882000</c:v>
                </c:pt>
                <c:pt idx="4">
                  <c:v>284817000</c:v>
                </c:pt>
                <c:pt idx="5">
                  <c:v>14027000</c:v>
                </c:pt>
                <c:pt idx="6">
                  <c:v>7658000000</c:v>
                </c:pt>
                <c:pt idx="7">
                  <c:v>22870000</c:v>
                </c:pt>
                <c:pt idx="8">
                  <c:v>36195000</c:v>
                </c:pt>
                <c:pt idx="9">
                  <c:v>4626231</c:v>
                </c:pt>
                <c:pt idx="10">
                  <c:v>1337369</c:v>
                </c:pt>
                <c:pt idx="11">
                  <c:v>1337369</c:v>
                </c:pt>
                <c:pt idx="12">
                  <c:v>2568000</c:v>
                </c:pt>
                <c:pt idx="13">
                  <c:v>56072000</c:v>
                </c:pt>
                <c:pt idx="14">
                  <c:v>16023000</c:v>
                </c:pt>
                <c:pt idx="15">
                  <c:v>266244</c:v>
                </c:pt>
                <c:pt idx="16">
                  <c:v>3216000</c:v>
                </c:pt>
                <c:pt idx="17">
                  <c:v>7322000000</c:v>
                </c:pt>
                <c:pt idx="18">
                  <c:v>2776000</c:v>
                </c:pt>
                <c:pt idx="19">
                  <c:v>76927000</c:v>
                </c:pt>
                <c:pt idx="20">
                  <c:v>391000000</c:v>
                </c:pt>
                <c:pt idx="21">
                  <c:v>39979000</c:v>
                </c:pt>
                <c:pt idx="22">
                  <c:v>30590000</c:v>
                </c:pt>
                <c:pt idx="23">
                  <c:v>84708000</c:v>
                </c:pt>
                <c:pt idx="24">
                  <c:v>18989708</c:v>
                </c:pt>
                <c:pt idx="25">
                  <c:v>42617000</c:v>
                </c:pt>
                <c:pt idx="26">
                  <c:v>3190000000</c:v>
                </c:pt>
                <c:pt idx="27">
                  <c:v>3070000</c:v>
                </c:pt>
                <c:pt idx="28">
                  <c:v>84247000</c:v>
                </c:pt>
                <c:pt idx="29">
                  <c:v>363666000</c:v>
                </c:pt>
                <c:pt idx="30">
                  <c:v>707405</c:v>
                </c:pt>
                <c:pt idx="31">
                  <c:v>3699943</c:v>
                </c:pt>
                <c:pt idx="32">
                  <c:v>1277000</c:v>
                </c:pt>
                <c:pt idx="33">
                  <c:v>207272</c:v>
                </c:pt>
                <c:pt idx="34">
                  <c:v>859000</c:v>
                </c:pt>
                <c:pt idx="35">
                  <c:v>121924000</c:v>
                </c:pt>
                <c:pt idx="36">
                  <c:v>3958000</c:v>
                </c:pt>
                <c:pt idx="37">
                  <c:v>11524000</c:v>
                </c:pt>
                <c:pt idx="38">
                  <c:v>143544000</c:v>
                </c:pt>
                <c:pt idx="39">
                  <c:v>10136000000</c:v>
                </c:pt>
                <c:pt idx="40">
                  <c:v>-10254400</c:v>
                </c:pt>
                <c:pt idx="41">
                  <c:v>5707000</c:v>
                </c:pt>
                <c:pt idx="42">
                  <c:v>-26000</c:v>
                </c:pt>
                <c:pt idx="43">
                  <c:v>1783000</c:v>
                </c:pt>
                <c:pt idx="44">
                  <c:v>412076000</c:v>
                </c:pt>
                <c:pt idx="45">
                  <c:v>6146000</c:v>
                </c:pt>
                <c:pt idx="46">
                  <c:v>17378000</c:v>
                </c:pt>
                <c:pt idx="47">
                  <c:v>3019000000</c:v>
                </c:pt>
                <c:pt idx="48">
                  <c:v>7747000</c:v>
                </c:pt>
                <c:pt idx="49">
                  <c:v>7608000</c:v>
                </c:pt>
                <c:pt idx="50">
                  <c:v>282631000</c:v>
                </c:pt>
                <c:pt idx="51">
                  <c:v>239762000</c:v>
                </c:pt>
                <c:pt idx="52">
                  <c:v>20833000</c:v>
                </c:pt>
                <c:pt idx="53">
                  <c:v>24594000</c:v>
                </c:pt>
                <c:pt idx="54">
                  <c:v>57399000</c:v>
                </c:pt>
                <c:pt idx="55">
                  <c:v>183200000</c:v>
                </c:pt>
                <c:pt idx="56">
                  <c:v>47175000</c:v>
                </c:pt>
                <c:pt idx="57">
                  <c:v>12589000</c:v>
                </c:pt>
                <c:pt idx="58">
                  <c:v>63787</c:v>
                </c:pt>
                <c:pt idx="59">
                  <c:v>13251590</c:v>
                </c:pt>
                <c:pt idx="60">
                  <c:v>19527000</c:v>
                </c:pt>
                <c:pt idx="61">
                  <c:v>3621000</c:v>
                </c:pt>
                <c:pt idx="62">
                  <c:v>3017000</c:v>
                </c:pt>
                <c:pt idx="63">
                  <c:v>2226000000</c:v>
                </c:pt>
                <c:pt idx="64">
                  <c:v>906140</c:v>
                </c:pt>
                <c:pt idx="65">
                  <c:v>1485000</c:v>
                </c:pt>
                <c:pt idx="66">
                  <c:v>396200</c:v>
                </c:pt>
                <c:pt idx="67">
                  <c:v>10194000</c:v>
                </c:pt>
                <c:pt idx="68">
                  <c:v>41891000</c:v>
                </c:pt>
                <c:pt idx="69">
                  <c:v>25619000</c:v>
                </c:pt>
                <c:pt idx="70">
                  <c:v>71703000</c:v>
                </c:pt>
                <c:pt idx="71">
                  <c:v>23253000</c:v>
                </c:pt>
                <c:pt idx="72">
                  <c:v>13994000</c:v>
                </c:pt>
                <c:pt idx="73">
                  <c:v>3125000</c:v>
                </c:pt>
                <c:pt idx="74">
                  <c:v>423137</c:v>
                </c:pt>
                <c:pt idx="75">
                  <c:v>323626</c:v>
                </c:pt>
                <c:pt idx="76">
                  <c:v>2031000</c:v>
                </c:pt>
                <c:pt idx="77">
                  <c:v>360000</c:v>
                </c:pt>
                <c:pt idx="78">
                  <c:v>474146000</c:v>
                </c:pt>
                <c:pt idx="79">
                  <c:v>58983000</c:v>
                </c:pt>
                <c:pt idx="80">
                  <c:v>44287000</c:v>
                </c:pt>
                <c:pt idx="81">
                  <c:v>519000000</c:v>
                </c:pt>
                <c:pt idx="82">
                  <c:v>3773000</c:v>
                </c:pt>
                <c:pt idx="83">
                  <c:v>429518000</c:v>
                </c:pt>
                <c:pt idx="84">
                  <c:v>11614000</c:v>
                </c:pt>
              </c:numCache>
            </c:numRef>
          </c:xVal>
          <c:yVal>
            <c:numRef>
              <c:f>Scatterplot!ScatterY_3683D</c:f>
              <c:numCache>
                <c:formatCode>General</c:formatCode>
                <c:ptCount val="85"/>
                <c:pt idx="0">
                  <c:v>179979000</c:v>
                </c:pt>
                <c:pt idx="1">
                  <c:v>642000000</c:v>
                </c:pt>
                <c:pt idx="2">
                  <c:v>18070000</c:v>
                </c:pt>
                <c:pt idx="3">
                  <c:v>1932000</c:v>
                </c:pt>
                <c:pt idx="4">
                  <c:v>446980000</c:v>
                </c:pt>
                <c:pt idx="5">
                  <c:v>12986000</c:v>
                </c:pt>
                <c:pt idx="6">
                  <c:v>1333000000</c:v>
                </c:pt>
                <c:pt idx="7">
                  <c:v>14482000</c:v>
                </c:pt>
                <c:pt idx="8">
                  <c:v>8990000</c:v>
                </c:pt>
                <c:pt idx="9">
                  <c:v>4884767</c:v>
                </c:pt>
                <c:pt idx="10">
                  <c:v>90572</c:v>
                </c:pt>
                <c:pt idx="11">
                  <c:v>1601525</c:v>
                </c:pt>
                <c:pt idx="12">
                  <c:v>76680000</c:v>
                </c:pt>
                <c:pt idx="13">
                  <c:v>1534918000</c:v>
                </c:pt>
                <c:pt idx="14">
                  <c:v>48150000</c:v>
                </c:pt>
                <c:pt idx="15">
                  <c:v>5535</c:v>
                </c:pt>
                <c:pt idx="16">
                  <c:v>44315000</c:v>
                </c:pt>
                <c:pt idx="17">
                  <c:v>5208000000</c:v>
                </c:pt>
                <c:pt idx="18">
                  <c:v>7541000</c:v>
                </c:pt>
                <c:pt idx="19">
                  <c:v>50010000</c:v>
                </c:pt>
                <c:pt idx="20">
                  <c:v>563000000</c:v>
                </c:pt>
                <c:pt idx="21">
                  <c:v>10520000</c:v>
                </c:pt>
                <c:pt idx="22">
                  <c:v>71363000</c:v>
                </c:pt>
                <c:pt idx="23">
                  <c:v>8173000</c:v>
                </c:pt>
                <c:pt idx="24">
                  <c:v>19732941</c:v>
                </c:pt>
                <c:pt idx="25">
                  <c:v>21619000</c:v>
                </c:pt>
                <c:pt idx="26">
                  <c:v>665000000</c:v>
                </c:pt>
                <c:pt idx="27">
                  <c:v>26381000</c:v>
                </c:pt>
                <c:pt idx="28">
                  <c:v>28979000</c:v>
                </c:pt>
                <c:pt idx="29">
                  <c:v>71557000</c:v>
                </c:pt>
                <c:pt idx="30">
                  <c:v>993338</c:v>
                </c:pt>
                <c:pt idx="31">
                  <c:v>518649</c:v>
                </c:pt>
                <c:pt idx="32">
                  <c:v>129795000</c:v>
                </c:pt>
                <c:pt idx="33">
                  <c:v>1138677</c:v>
                </c:pt>
                <c:pt idx="34">
                  <c:v>58176000</c:v>
                </c:pt>
                <c:pt idx="35">
                  <c:v>103664000</c:v>
                </c:pt>
                <c:pt idx="36">
                  <c:v>2392000</c:v>
                </c:pt>
                <c:pt idx="37">
                  <c:v>5737000</c:v>
                </c:pt>
                <c:pt idx="38">
                  <c:v>18323000</c:v>
                </c:pt>
                <c:pt idx="39">
                  <c:v>2819000000</c:v>
                </c:pt>
                <c:pt idx="40">
                  <c:v>2266700</c:v>
                </c:pt>
                <c:pt idx="41">
                  <c:v>4030000</c:v>
                </c:pt>
                <c:pt idx="42">
                  <c:v>19931000</c:v>
                </c:pt>
                <c:pt idx="43">
                  <c:v>2266000</c:v>
                </c:pt>
                <c:pt idx="44">
                  <c:v>185843000</c:v>
                </c:pt>
                <c:pt idx="45">
                  <c:v>3522000</c:v>
                </c:pt>
                <c:pt idx="46">
                  <c:v>521628000</c:v>
                </c:pt>
                <c:pt idx="47">
                  <c:v>1355000000</c:v>
                </c:pt>
                <c:pt idx="48">
                  <c:v>42372000</c:v>
                </c:pt>
                <c:pt idx="49">
                  <c:v>636000</c:v>
                </c:pt>
                <c:pt idx="50">
                  <c:v>89685000</c:v>
                </c:pt>
                <c:pt idx="51">
                  <c:v>115524000</c:v>
                </c:pt>
                <c:pt idx="52">
                  <c:v>21496000</c:v>
                </c:pt>
                <c:pt idx="53">
                  <c:v>16322000</c:v>
                </c:pt>
                <c:pt idx="54">
                  <c:v>5505000</c:v>
                </c:pt>
                <c:pt idx="55">
                  <c:v>308900000</c:v>
                </c:pt>
                <c:pt idx="56">
                  <c:v>498495000</c:v>
                </c:pt>
                <c:pt idx="57">
                  <c:v>32557000</c:v>
                </c:pt>
                <c:pt idx="58">
                  <c:v>1917614</c:v>
                </c:pt>
                <c:pt idx="59">
                  <c:v>1218572</c:v>
                </c:pt>
                <c:pt idx="60">
                  <c:v>36862000</c:v>
                </c:pt>
                <c:pt idx="61">
                  <c:v>8062000</c:v>
                </c:pt>
                <c:pt idx="62">
                  <c:v>16697000</c:v>
                </c:pt>
                <c:pt idx="63">
                  <c:v>2440000000</c:v>
                </c:pt>
                <c:pt idx="64">
                  <c:v>1050398</c:v>
                </c:pt>
                <c:pt idx="65">
                  <c:v>79000</c:v>
                </c:pt>
                <c:pt idx="66">
                  <c:v>452600</c:v>
                </c:pt>
                <c:pt idx="67">
                  <c:v>43042000</c:v>
                </c:pt>
                <c:pt idx="68">
                  <c:v>41405000</c:v>
                </c:pt>
                <c:pt idx="69">
                  <c:v>43558000</c:v>
                </c:pt>
                <c:pt idx="70">
                  <c:v>123996000</c:v>
                </c:pt>
                <c:pt idx="71">
                  <c:v>34514000</c:v>
                </c:pt>
                <c:pt idx="72">
                  <c:v>14553000</c:v>
                </c:pt>
                <c:pt idx="73">
                  <c:v>2998000</c:v>
                </c:pt>
                <c:pt idx="74">
                  <c:v>1888953</c:v>
                </c:pt>
                <c:pt idx="75">
                  <c:v>2948356</c:v>
                </c:pt>
                <c:pt idx="76">
                  <c:v>4783000</c:v>
                </c:pt>
                <c:pt idx="77">
                  <c:v>331000</c:v>
                </c:pt>
                <c:pt idx="78">
                  <c:v>147375000</c:v>
                </c:pt>
                <c:pt idx="79">
                  <c:v>56425000</c:v>
                </c:pt>
                <c:pt idx="80">
                  <c:v>29622000</c:v>
                </c:pt>
                <c:pt idx="81">
                  <c:v>509000000</c:v>
                </c:pt>
                <c:pt idx="82">
                  <c:v>4408000</c:v>
                </c:pt>
                <c:pt idx="83">
                  <c:v>355392000</c:v>
                </c:pt>
                <c:pt idx="84">
                  <c:v>39474000</c:v>
                </c:pt>
              </c:numCache>
            </c:numRef>
          </c:yVal>
          <c:smooth val="0"/>
        </c:ser>
        <c:dLbls>
          <c:showLegendKey val="0"/>
          <c:showVal val="0"/>
          <c:showCatName val="0"/>
          <c:showSerName val="0"/>
          <c:showPercent val="0"/>
          <c:showBubbleSize val="0"/>
        </c:dLbls>
        <c:axId val="485385696"/>
        <c:axId val="485384912"/>
      </c:scatterChart>
      <c:valAx>
        <c:axId val="485385696"/>
        <c:scaling>
          <c:orientation val="minMax"/>
        </c:scaling>
        <c:delete val="0"/>
        <c:axPos val="b"/>
        <c:title>
          <c:tx>
            <c:rich>
              <a:bodyPr/>
              <a:lstStyle/>
              <a:p>
                <a:pPr>
                  <a:defRPr sz="800" b="0"/>
                </a:pPr>
                <a:r>
                  <a:rPr lang="en-US"/>
                  <a:t>Operating Income / Data Set #1</a:t>
                </a:r>
              </a:p>
            </c:rich>
          </c:tx>
          <c:layout/>
          <c:overlay val="0"/>
        </c:title>
        <c:numFmt formatCode="General" sourceLinked="0"/>
        <c:majorTickMark val="out"/>
        <c:minorTickMark val="none"/>
        <c:tickLblPos val="nextTo"/>
        <c:txPr>
          <a:bodyPr/>
          <a:lstStyle/>
          <a:p>
            <a:pPr>
              <a:defRPr sz="800" b="0"/>
            </a:pPr>
            <a:endParaRPr lang="en-US"/>
          </a:p>
        </c:txPr>
        <c:crossAx val="485384912"/>
        <c:crosses val="autoZero"/>
        <c:crossBetween val="midCat"/>
      </c:valAx>
      <c:valAx>
        <c:axId val="485384912"/>
        <c:scaling>
          <c:orientation val="minMax"/>
        </c:scaling>
        <c:delete val="0"/>
        <c:axPos val="l"/>
        <c:title>
          <c:tx>
            <c:rich>
              <a:bodyPr/>
              <a:lstStyle/>
              <a:p>
                <a:pPr>
                  <a:defRPr sz="800" b="0"/>
                </a:pPr>
                <a:r>
                  <a:rPr lang="en-US"/>
                  <a:t>R&amp;D / Data Set #1</a:t>
                </a:r>
              </a:p>
            </c:rich>
          </c:tx>
          <c:layout/>
          <c:overlay val="0"/>
        </c:title>
        <c:numFmt formatCode="General" sourceLinked="0"/>
        <c:majorTickMark val="out"/>
        <c:minorTickMark val="none"/>
        <c:tickLblPos val="nextTo"/>
        <c:txPr>
          <a:bodyPr/>
          <a:lstStyle/>
          <a:p>
            <a:pPr>
              <a:defRPr sz="800" b="0"/>
            </a:pPr>
            <a:endParaRPr lang="en-US"/>
          </a:p>
        </c:txPr>
        <c:crossAx val="485385696"/>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Net Income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Scatterplot!ScatterX_3246</c:f>
              <c:numCache>
                <c:formatCode>General</c:formatCode>
                <c:ptCount val="85"/>
                <c:pt idx="0">
                  <c:v>114725000</c:v>
                </c:pt>
                <c:pt idx="1">
                  <c:v>-31000000</c:v>
                </c:pt>
                <c:pt idx="2">
                  <c:v>28353000</c:v>
                </c:pt>
                <c:pt idx="3">
                  <c:v>959000</c:v>
                </c:pt>
                <c:pt idx="4">
                  <c:v>247772000</c:v>
                </c:pt>
                <c:pt idx="5">
                  <c:v>9859000</c:v>
                </c:pt>
                <c:pt idx="6">
                  <c:v>5704000000</c:v>
                </c:pt>
                <c:pt idx="7">
                  <c:v>14529000</c:v>
                </c:pt>
                <c:pt idx="8">
                  <c:v>23691000</c:v>
                </c:pt>
                <c:pt idx="9">
                  <c:v>2963987</c:v>
                </c:pt>
                <c:pt idx="10">
                  <c:v>943937</c:v>
                </c:pt>
                <c:pt idx="11">
                  <c:v>943937</c:v>
                </c:pt>
                <c:pt idx="12">
                  <c:v>-8508000</c:v>
                </c:pt>
                <c:pt idx="13">
                  <c:v>65261000</c:v>
                </c:pt>
                <c:pt idx="14">
                  <c:v>11187000</c:v>
                </c:pt>
                <c:pt idx="15">
                  <c:v>155010</c:v>
                </c:pt>
                <c:pt idx="16">
                  <c:v>3475000</c:v>
                </c:pt>
                <c:pt idx="17">
                  <c:v>6134000000</c:v>
                </c:pt>
                <c:pt idx="18">
                  <c:v>2227000</c:v>
                </c:pt>
                <c:pt idx="19">
                  <c:v>49558000</c:v>
                </c:pt>
                <c:pt idx="20">
                  <c:v>2008000000</c:v>
                </c:pt>
                <c:pt idx="21">
                  <c:v>23466000</c:v>
                </c:pt>
                <c:pt idx="22">
                  <c:v>30325000</c:v>
                </c:pt>
                <c:pt idx="23">
                  <c:v>55686000</c:v>
                </c:pt>
                <c:pt idx="24">
                  <c:v>26720620</c:v>
                </c:pt>
                <c:pt idx="25">
                  <c:v>26428000</c:v>
                </c:pt>
                <c:pt idx="26">
                  <c:v>2478000000</c:v>
                </c:pt>
                <c:pt idx="27">
                  <c:v>4083000</c:v>
                </c:pt>
                <c:pt idx="28">
                  <c:v>55455000</c:v>
                </c:pt>
                <c:pt idx="29">
                  <c:v>242991000</c:v>
                </c:pt>
                <c:pt idx="30">
                  <c:v>103324</c:v>
                </c:pt>
                <c:pt idx="31">
                  <c:v>2933986</c:v>
                </c:pt>
                <c:pt idx="32">
                  <c:v>7544000</c:v>
                </c:pt>
                <c:pt idx="33">
                  <c:v>159817</c:v>
                </c:pt>
                <c:pt idx="34">
                  <c:v>2815000</c:v>
                </c:pt>
                <c:pt idx="35">
                  <c:v>91535000</c:v>
                </c:pt>
                <c:pt idx="36">
                  <c:v>3299000</c:v>
                </c:pt>
                <c:pt idx="37">
                  <c:v>9289000</c:v>
                </c:pt>
                <c:pt idx="38">
                  <c:v>87968000</c:v>
                </c:pt>
                <c:pt idx="39">
                  <c:v>7660000000</c:v>
                </c:pt>
                <c:pt idx="40">
                  <c:v>914800</c:v>
                </c:pt>
                <c:pt idx="41">
                  <c:v>10474000</c:v>
                </c:pt>
                <c:pt idx="42">
                  <c:v>-3349000</c:v>
                </c:pt>
                <c:pt idx="43">
                  <c:v>1063000</c:v>
                </c:pt>
                <c:pt idx="44">
                  <c:v>313510000</c:v>
                </c:pt>
                <c:pt idx="45">
                  <c:v>3283000</c:v>
                </c:pt>
                <c:pt idx="46">
                  <c:v>10455000</c:v>
                </c:pt>
                <c:pt idx="47">
                  <c:v>2169000000</c:v>
                </c:pt>
                <c:pt idx="48">
                  <c:v>-1262000</c:v>
                </c:pt>
                <c:pt idx="49">
                  <c:v>4790000</c:v>
                </c:pt>
                <c:pt idx="50">
                  <c:v>172593000</c:v>
                </c:pt>
                <c:pt idx="51">
                  <c:v>248820000</c:v>
                </c:pt>
                <c:pt idx="52">
                  <c:v>-9438000</c:v>
                </c:pt>
                <c:pt idx="53">
                  <c:v>17394000</c:v>
                </c:pt>
                <c:pt idx="54">
                  <c:v>46068000</c:v>
                </c:pt>
                <c:pt idx="55">
                  <c:v>73300000</c:v>
                </c:pt>
                <c:pt idx="56">
                  <c:v>86545000</c:v>
                </c:pt>
                <c:pt idx="57">
                  <c:v>31519000</c:v>
                </c:pt>
                <c:pt idx="58">
                  <c:v>70685</c:v>
                </c:pt>
                <c:pt idx="59">
                  <c:v>9782895</c:v>
                </c:pt>
                <c:pt idx="60">
                  <c:v>11152000</c:v>
                </c:pt>
                <c:pt idx="61">
                  <c:v>1760000</c:v>
                </c:pt>
                <c:pt idx="62">
                  <c:v>6087000</c:v>
                </c:pt>
                <c:pt idx="63">
                  <c:v>1592000000</c:v>
                </c:pt>
                <c:pt idx="64">
                  <c:v>655967</c:v>
                </c:pt>
                <c:pt idx="65">
                  <c:v>516000</c:v>
                </c:pt>
                <c:pt idx="66">
                  <c:v>319500</c:v>
                </c:pt>
                <c:pt idx="67">
                  <c:v>9974000</c:v>
                </c:pt>
                <c:pt idx="68">
                  <c:v>37521000</c:v>
                </c:pt>
                <c:pt idx="69">
                  <c:v>26423000</c:v>
                </c:pt>
                <c:pt idx="70">
                  <c:v>93289000</c:v>
                </c:pt>
                <c:pt idx="71">
                  <c:v>16107000</c:v>
                </c:pt>
                <c:pt idx="72">
                  <c:v>12545000</c:v>
                </c:pt>
                <c:pt idx="73">
                  <c:v>1595000</c:v>
                </c:pt>
                <c:pt idx="74">
                  <c:v>942808</c:v>
                </c:pt>
                <c:pt idx="75">
                  <c:v>196237</c:v>
                </c:pt>
                <c:pt idx="76">
                  <c:v>1866000</c:v>
                </c:pt>
                <c:pt idx="77">
                  <c:v>303000</c:v>
                </c:pt>
                <c:pt idx="78">
                  <c:v>319022000</c:v>
                </c:pt>
                <c:pt idx="79">
                  <c:v>38620000</c:v>
                </c:pt>
                <c:pt idx="80">
                  <c:v>38331000</c:v>
                </c:pt>
                <c:pt idx="81">
                  <c:v>470000000</c:v>
                </c:pt>
                <c:pt idx="82">
                  <c:v>2029000</c:v>
                </c:pt>
                <c:pt idx="83">
                  <c:v>375640000</c:v>
                </c:pt>
                <c:pt idx="84">
                  <c:v>9564000</c:v>
                </c:pt>
              </c:numCache>
            </c:numRef>
          </c:xVal>
          <c:yVal>
            <c:numRef>
              <c:f>Scatterplot!ScatterY_3246</c:f>
              <c:numCache>
                <c:formatCode>General</c:formatCode>
                <c:ptCount val="85"/>
                <c:pt idx="0">
                  <c:v>179979000</c:v>
                </c:pt>
                <c:pt idx="1">
                  <c:v>642000000</c:v>
                </c:pt>
                <c:pt idx="2">
                  <c:v>18070000</c:v>
                </c:pt>
                <c:pt idx="3">
                  <c:v>1932000</c:v>
                </c:pt>
                <c:pt idx="4">
                  <c:v>446980000</c:v>
                </c:pt>
                <c:pt idx="5">
                  <c:v>12986000</c:v>
                </c:pt>
                <c:pt idx="6">
                  <c:v>1333000000</c:v>
                </c:pt>
                <c:pt idx="7">
                  <c:v>14482000</c:v>
                </c:pt>
                <c:pt idx="8">
                  <c:v>8990000</c:v>
                </c:pt>
                <c:pt idx="9">
                  <c:v>4884767</c:v>
                </c:pt>
                <c:pt idx="10">
                  <c:v>90572</c:v>
                </c:pt>
                <c:pt idx="11">
                  <c:v>1601525</c:v>
                </c:pt>
                <c:pt idx="12">
                  <c:v>76680000</c:v>
                </c:pt>
                <c:pt idx="13">
                  <c:v>1534918000</c:v>
                </c:pt>
                <c:pt idx="14">
                  <c:v>48150000</c:v>
                </c:pt>
                <c:pt idx="15">
                  <c:v>5535</c:v>
                </c:pt>
                <c:pt idx="16">
                  <c:v>44315000</c:v>
                </c:pt>
                <c:pt idx="17">
                  <c:v>5208000000</c:v>
                </c:pt>
                <c:pt idx="18">
                  <c:v>7541000</c:v>
                </c:pt>
                <c:pt idx="19">
                  <c:v>50010000</c:v>
                </c:pt>
                <c:pt idx="20">
                  <c:v>563000000</c:v>
                </c:pt>
                <c:pt idx="21">
                  <c:v>10520000</c:v>
                </c:pt>
                <c:pt idx="22">
                  <c:v>71363000</c:v>
                </c:pt>
                <c:pt idx="23">
                  <c:v>8173000</c:v>
                </c:pt>
                <c:pt idx="24">
                  <c:v>19732941</c:v>
                </c:pt>
                <c:pt idx="25">
                  <c:v>21619000</c:v>
                </c:pt>
                <c:pt idx="26">
                  <c:v>665000000</c:v>
                </c:pt>
                <c:pt idx="27">
                  <c:v>26381000</c:v>
                </c:pt>
                <c:pt idx="28">
                  <c:v>28979000</c:v>
                </c:pt>
                <c:pt idx="29">
                  <c:v>71557000</c:v>
                </c:pt>
                <c:pt idx="30">
                  <c:v>993338</c:v>
                </c:pt>
                <c:pt idx="31">
                  <c:v>518649</c:v>
                </c:pt>
                <c:pt idx="32">
                  <c:v>129795000</c:v>
                </c:pt>
                <c:pt idx="33">
                  <c:v>1138677</c:v>
                </c:pt>
                <c:pt idx="34">
                  <c:v>58176000</c:v>
                </c:pt>
                <c:pt idx="35">
                  <c:v>103664000</c:v>
                </c:pt>
                <c:pt idx="36">
                  <c:v>2392000</c:v>
                </c:pt>
                <c:pt idx="37">
                  <c:v>5737000</c:v>
                </c:pt>
                <c:pt idx="38">
                  <c:v>18323000</c:v>
                </c:pt>
                <c:pt idx="39">
                  <c:v>2819000000</c:v>
                </c:pt>
                <c:pt idx="40">
                  <c:v>2266700</c:v>
                </c:pt>
                <c:pt idx="41">
                  <c:v>4030000</c:v>
                </c:pt>
                <c:pt idx="42">
                  <c:v>19931000</c:v>
                </c:pt>
                <c:pt idx="43">
                  <c:v>2266000</c:v>
                </c:pt>
                <c:pt idx="44">
                  <c:v>185843000</c:v>
                </c:pt>
                <c:pt idx="45">
                  <c:v>3522000</c:v>
                </c:pt>
                <c:pt idx="46">
                  <c:v>521628000</c:v>
                </c:pt>
                <c:pt idx="47">
                  <c:v>1355000000</c:v>
                </c:pt>
                <c:pt idx="48">
                  <c:v>42372000</c:v>
                </c:pt>
                <c:pt idx="49">
                  <c:v>636000</c:v>
                </c:pt>
                <c:pt idx="50">
                  <c:v>89685000</c:v>
                </c:pt>
                <c:pt idx="51">
                  <c:v>115524000</c:v>
                </c:pt>
                <c:pt idx="52">
                  <c:v>21496000</c:v>
                </c:pt>
                <c:pt idx="53">
                  <c:v>16322000</c:v>
                </c:pt>
                <c:pt idx="54">
                  <c:v>5505000</c:v>
                </c:pt>
                <c:pt idx="55">
                  <c:v>308900000</c:v>
                </c:pt>
                <c:pt idx="56">
                  <c:v>498495000</c:v>
                </c:pt>
                <c:pt idx="57">
                  <c:v>32557000</c:v>
                </c:pt>
                <c:pt idx="58">
                  <c:v>1917614</c:v>
                </c:pt>
                <c:pt idx="59">
                  <c:v>1218572</c:v>
                </c:pt>
                <c:pt idx="60">
                  <c:v>36862000</c:v>
                </c:pt>
                <c:pt idx="61">
                  <c:v>8062000</c:v>
                </c:pt>
                <c:pt idx="62">
                  <c:v>16697000</c:v>
                </c:pt>
                <c:pt idx="63">
                  <c:v>2440000000</c:v>
                </c:pt>
                <c:pt idx="64">
                  <c:v>1050398</c:v>
                </c:pt>
                <c:pt idx="65">
                  <c:v>79000</c:v>
                </c:pt>
                <c:pt idx="66">
                  <c:v>452600</c:v>
                </c:pt>
                <c:pt idx="67">
                  <c:v>43042000</c:v>
                </c:pt>
                <c:pt idx="68">
                  <c:v>41405000</c:v>
                </c:pt>
                <c:pt idx="69">
                  <c:v>43558000</c:v>
                </c:pt>
                <c:pt idx="70">
                  <c:v>123996000</c:v>
                </c:pt>
                <c:pt idx="71">
                  <c:v>34514000</c:v>
                </c:pt>
                <c:pt idx="72">
                  <c:v>14553000</c:v>
                </c:pt>
                <c:pt idx="73">
                  <c:v>2998000</c:v>
                </c:pt>
                <c:pt idx="74">
                  <c:v>1888953</c:v>
                </c:pt>
                <c:pt idx="75">
                  <c:v>2948356</c:v>
                </c:pt>
                <c:pt idx="76">
                  <c:v>4783000</c:v>
                </c:pt>
                <c:pt idx="77">
                  <c:v>331000</c:v>
                </c:pt>
                <c:pt idx="78">
                  <c:v>147375000</c:v>
                </c:pt>
                <c:pt idx="79">
                  <c:v>56425000</c:v>
                </c:pt>
                <c:pt idx="80">
                  <c:v>29622000</c:v>
                </c:pt>
                <c:pt idx="81">
                  <c:v>509000000</c:v>
                </c:pt>
                <c:pt idx="82">
                  <c:v>4408000</c:v>
                </c:pt>
                <c:pt idx="83">
                  <c:v>355392000</c:v>
                </c:pt>
                <c:pt idx="84">
                  <c:v>39474000</c:v>
                </c:pt>
              </c:numCache>
            </c:numRef>
          </c:yVal>
          <c:smooth val="0"/>
        </c:ser>
        <c:dLbls>
          <c:showLegendKey val="0"/>
          <c:showVal val="0"/>
          <c:showCatName val="0"/>
          <c:showSerName val="0"/>
          <c:showPercent val="0"/>
          <c:showBubbleSize val="0"/>
        </c:dLbls>
        <c:axId val="485386088"/>
        <c:axId val="485384128"/>
      </c:scatterChart>
      <c:valAx>
        <c:axId val="485386088"/>
        <c:scaling>
          <c:orientation val="minMax"/>
        </c:scaling>
        <c:delete val="0"/>
        <c:axPos val="b"/>
        <c:title>
          <c:tx>
            <c:rich>
              <a:bodyPr/>
              <a:lstStyle/>
              <a:p>
                <a:pPr>
                  <a:defRPr sz="800" b="0"/>
                </a:pPr>
                <a:r>
                  <a:rPr lang="en-US"/>
                  <a:t>Net Income / Data Set #1</a:t>
                </a:r>
              </a:p>
            </c:rich>
          </c:tx>
          <c:layout/>
          <c:overlay val="0"/>
        </c:title>
        <c:numFmt formatCode="General" sourceLinked="0"/>
        <c:majorTickMark val="out"/>
        <c:minorTickMark val="none"/>
        <c:tickLblPos val="nextTo"/>
        <c:txPr>
          <a:bodyPr/>
          <a:lstStyle/>
          <a:p>
            <a:pPr>
              <a:defRPr sz="800" b="0"/>
            </a:pPr>
            <a:endParaRPr lang="en-US"/>
          </a:p>
        </c:txPr>
        <c:crossAx val="485384128"/>
        <c:crosses val="autoZero"/>
        <c:crossBetween val="midCat"/>
      </c:valAx>
      <c:valAx>
        <c:axId val="485384128"/>
        <c:scaling>
          <c:orientation val="minMax"/>
        </c:scaling>
        <c:delete val="0"/>
        <c:axPos val="l"/>
        <c:title>
          <c:tx>
            <c:rich>
              <a:bodyPr/>
              <a:lstStyle/>
              <a:p>
                <a:pPr>
                  <a:defRPr sz="800" b="0"/>
                </a:pPr>
                <a:r>
                  <a:rPr lang="en-US"/>
                  <a:t>R&amp;D / Data Set #1</a:t>
                </a:r>
              </a:p>
            </c:rich>
          </c:tx>
          <c:layout/>
          <c:overlay val="0"/>
        </c:title>
        <c:numFmt formatCode="General" sourceLinked="0"/>
        <c:majorTickMark val="out"/>
        <c:minorTickMark val="none"/>
        <c:tickLblPos val="nextTo"/>
        <c:txPr>
          <a:bodyPr/>
          <a:lstStyle/>
          <a:p>
            <a:pPr>
              <a:defRPr sz="800" b="0"/>
            </a:pPr>
            <a:endParaRPr lang="en-US"/>
          </a:p>
        </c:txPr>
        <c:crossAx val="485386088"/>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Total Assets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Scatterplot!ScatterX_B24B3</c:f>
              <c:numCache>
                <c:formatCode>General</c:formatCode>
                <c:ptCount val="85"/>
                <c:pt idx="0">
                  <c:v>1815357000</c:v>
                </c:pt>
                <c:pt idx="1">
                  <c:v>7612000000</c:v>
                </c:pt>
                <c:pt idx="2">
                  <c:v>268287000</c:v>
                </c:pt>
                <c:pt idx="3">
                  <c:v>16431000</c:v>
                </c:pt>
                <c:pt idx="4">
                  <c:v>3404294000</c:v>
                </c:pt>
                <c:pt idx="5">
                  <c:v>237055000</c:v>
                </c:pt>
                <c:pt idx="6">
                  <c:v>53851000000</c:v>
                </c:pt>
                <c:pt idx="7">
                  <c:v>171000000</c:v>
                </c:pt>
                <c:pt idx="8">
                  <c:v>380025000</c:v>
                </c:pt>
                <c:pt idx="9">
                  <c:v>62155250</c:v>
                </c:pt>
                <c:pt idx="10">
                  <c:v>7402641</c:v>
                </c:pt>
                <c:pt idx="11">
                  <c:v>7402641</c:v>
                </c:pt>
                <c:pt idx="12">
                  <c:v>562293000</c:v>
                </c:pt>
                <c:pt idx="13">
                  <c:v>5127242000</c:v>
                </c:pt>
                <c:pt idx="14">
                  <c:v>515144000</c:v>
                </c:pt>
                <c:pt idx="15">
                  <c:v>1743482</c:v>
                </c:pt>
                <c:pt idx="16">
                  <c:v>209496000</c:v>
                </c:pt>
                <c:pt idx="17">
                  <c:v>68128000000</c:v>
                </c:pt>
                <c:pt idx="18">
                  <c:v>40853000</c:v>
                </c:pt>
                <c:pt idx="19">
                  <c:v>938671000</c:v>
                </c:pt>
                <c:pt idx="20">
                  <c:v>21295000000</c:v>
                </c:pt>
                <c:pt idx="21">
                  <c:v>458254000</c:v>
                </c:pt>
                <c:pt idx="22">
                  <c:v>1404567000</c:v>
                </c:pt>
                <c:pt idx="23">
                  <c:v>756315000</c:v>
                </c:pt>
                <c:pt idx="24">
                  <c:v>112043628</c:v>
                </c:pt>
                <c:pt idx="25">
                  <c:v>324876000</c:v>
                </c:pt>
                <c:pt idx="26">
                  <c:v>26500000000</c:v>
                </c:pt>
                <c:pt idx="27">
                  <c:v>258948000</c:v>
                </c:pt>
                <c:pt idx="28">
                  <c:v>329984000</c:v>
                </c:pt>
                <c:pt idx="29">
                  <c:v>1581315000</c:v>
                </c:pt>
                <c:pt idx="30">
                  <c:v>17087289</c:v>
                </c:pt>
                <c:pt idx="31">
                  <c:v>4477670</c:v>
                </c:pt>
                <c:pt idx="32">
                  <c:v>658918000</c:v>
                </c:pt>
                <c:pt idx="33">
                  <c:v>4970089</c:v>
                </c:pt>
                <c:pt idx="34">
                  <c:v>246637000</c:v>
                </c:pt>
                <c:pt idx="35">
                  <c:v>1068645000</c:v>
                </c:pt>
                <c:pt idx="36">
                  <c:v>191539000</c:v>
                </c:pt>
                <c:pt idx="37">
                  <c:v>92673000</c:v>
                </c:pt>
                <c:pt idx="38">
                  <c:v>737423000</c:v>
                </c:pt>
                <c:pt idx="39">
                  <c:v>114799000000</c:v>
                </c:pt>
                <c:pt idx="40">
                  <c:v>5851600</c:v>
                </c:pt>
                <c:pt idx="41">
                  <c:v>76066000</c:v>
                </c:pt>
                <c:pt idx="42">
                  <c:v>252832000</c:v>
                </c:pt>
                <c:pt idx="43">
                  <c:v>77755000</c:v>
                </c:pt>
                <c:pt idx="44">
                  <c:v>1421529000</c:v>
                </c:pt>
                <c:pt idx="45">
                  <c:v>84080000</c:v>
                </c:pt>
                <c:pt idx="46">
                  <c:v>3081775000</c:v>
                </c:pt>
                <c:pt idx="47">
                  <c:v>23661000000</c:v>
                </c:pt>
                <c:pt idx="48">
                  <c:v>219372000</c:v>
                </c:pt>
                <c:pt idx="49">
                  <c:v>29614000</c:v>
                </c:pt>
                <c:pt idx="50">
                  <c:v>1718787000</c:v>
                </c:pt>
                <c:pt idx="51">
                  <c:v>2421439000</c:v>
                </c:pt>
                <c:pt idx="52">
                  <c:v>67885000</c:v>
                </c:pt>
                <c:pt idx="53">
                  <c:v>386914000</c:v>
                </c:pt>
                <c:pt idx="54">
                  <c:v>525930000</c:v>
                </c:pt>
                <c:pt idx="55">
                  <c:v>1963300000</c:v>
                </c:pt>
                <c:pt idx="56">
                  <c:v>5472819000</c:v>
                </c:pt>
                <c:pt idx="57">
                  <c:v>258859000</c:v>
                </c:pt>
                <c:pt idx="58">
                  <c:v>2679249</c:v>
                </c:pt>
                <c:pt idx="59">
                  <c:v>42566440</c:v>
                </c:pt>
                <c:pt idx="60">
                  <c:v>474828000</c:v>
                </c:pt>
                <c:pt idx="61">
                  <c:v>141482000</c:v>
                </c:pt>
                <c:pt idx="62">
                  <c:v>246058000</c:v>
                </c:pt>
                <c:pt idx="63">
                  <c:v>27445000000</c:v>
                </c:pt>
                <c:pt idx="64">
                  <c:v>16598200</c:v>
                </c:pt>
                <c:pt idx="65">
                  <c:v>26843000</c:v>
                </c:pt>
                <c:pt idx="66">
                  <c:v>4831000</c:v>
                </c:pt>
                <c:pt idx="67">
                  <c:v>233983000</c:v>
                </c:pt>
                <c:pt idx="68">
                  <c:v>420795000</c:v>
                </c:pt>
                <c:pt idx="69">
                  <c:v>330947000</c:v>
                </c:pt>
                <c:pt idx="70">
                  <c:v>1355326000</c:v>
                </c:pt>
                <c:pt idx="71">
                  <c:v>283135000</c:v>
                </c:pt>
                <c:pt idx="72">
                  <c:v>190304000</c:v>
                </c:pt>
                <c:pt idx="73">
                  <c:v>58080000</c:v>
                </c:pt>
                <c:pt idx="74">
                  <c:v>9322276</c:v>
                </c:pt>
                <c:pt idx="75">
                  <c:v>7505389</c:v>
                </c:pt>
                <c:pt idx="76">
                  <c:v>40325000</c:v>
                </c:pt>
                <c:pt idx="77">
                  <c:v>3026000</c:v>
                </c:pt>
                <c:pt idx="78">
                  <c:v>2308248000</c:v>
                </c:pt>
                <c:pt idx="79">
                  <c:v>944187000</c:v>
                </c:pt>
                <c:pt idx="80">
                  <c:v>622942000</c:v>
                </c:pt>
                <c:pt idx="81">
                  <c:v>5291000000</c:v>
                </c:pt>
                <c:pt idx="82">
                  <c:v>111597000</c:v>
                </c:pt>
                <c:pt idx="83">
                  <c:v>2825515000</c:v>
                </c:pt>
                <c:pt idx="84">
                  <c:v>371847000</c:v>
                </c:pt>
              </c:numCache>
            </c:numRef>
          </c:xVal>
          <c:yVal>
            <c:numRef>
              <c:f>Scatterplot!ScatterY_B24B3</c:f>
              <c:numCache>
                <c:formatCode>General</c:formatCode>
                <c:ptCount val="85"/>
                <c:pt idx="0">
                  <c:v>179979000</c:v>
                </c:pt>
                <c:pt idx="1">
                  <c:v>642000000</c:v>
                </c:pt>
                <c:pt idx="2">
                  <c:v>18070000</c:v>
                </c:pt>
                <c:pt idx="3">
                  <c:v>1932000</c:v>
                </c:pt>
                <c:pt idx="4">
                  <c:v>446980000</c:v>
                </c:pt>
                <c:pt idx="5">
                  <c:v>12986000</c:v>
                </c:pt>
                <c:pt idx="6">
                  <c:v>1333000000</c:v>
                </c:pt>
                <c:pt idx="7">
                  <c:v>14482000</c:v>
                </c:pt>
                <c:pt idx="8">
                  <c:v>8990000</c:v>
                </c:pt>
                <c:pt idx="9">
                  <c:v>4884767</c:v>
                </c:pt>
                <c:pt idx="10">
                  <c:v>90572</c:v>
                </c:pt>
                <c:pt idx="11">
                  <c:v>1601525</c:v>
                </c:pt>
                <c:pt idx="12">
                  <c:v>76680000</c:v>
                </c:pt>
                <c:pt idx="13">
                  <c:v>1534918000</c:v>
                </c:pt>
                <c:pt idx="14">
                  <c:v>48150000</c:v>
                </c:pt>
                <c:pt idx="15">
                  <c:v>5535</c:v>
                </c:pt>
                <c:pt idx="16">
                  <c:v>44315000</c:v>
                </c:pt>
                <c:pt idx="17">
                  <c:v>5208000000</c:v>
                </c:pt>
                <c:pt idx="18">
                  <c:v>7541000</c:v>
                </c:pt>
                <c:pt idx="19">
                  <c:v>50010000</c:v>
                </c:pt>
                <c:pt idx="20">
                  <c:v>563000000</c:v>
                </c:pt>
                <c:pt idx="21">
                  <c:v>10520000</c:v>
                </c:pt>
                <c:pt idx="22">
                  <c:v>71363000</c:v>
                </c:pt>
                <c:pt idx="23">
                  <c:v>8173000</c:v>
                </c:pt>
                <c:pt idx="24">
                  <c:v>19732941</c:v>
                </c:pt>
                <c:pt idx="25">
                  <c:v>21619000</c:v>
                </c:pt>
                <c:pt idx="26">
                  <c:v>665000000</c:v>
                </c:pt>
                <c:pt idx="27">
                  <c:v>26381000</c:v>
                </c:pt>
                <c:pt idx="28">
                  <c:v>28979000</c:v>
                </c:pt>
                <c:pt idx="29">
                  <c:v>71557000</c:v>
                </c:pt>
                <c:pt idx="30">
                  <c:v>993338</c:v>
                </c:pt>
                <c:pt idx="31">
                  <c:v>518649</c:v>
                </c:pt>
                <c:pt idx="32">
                  <c:v>129795000</c:v>
                </c:pt>
                <c:pt idx="33">
                  <c:v>1138677</c:v>
                </c:pt>
                <c:pt idx="34">
                  <c:v>58176000</c:v>
                </c:pt>
                <c:pt idx="35">
                  <c:v>103664000</c:v>
                </c:pt>
                <c:pt idx="36">
                  <c:v>2392000</c:v>
                </c:pt>
                <c:pt idx="37">
                  <c:v>5737000</c:v>
                </c:pt>
                <c:pt idx="38">
                  <c:v>18323000</c:v>
                </c:pt>
                <c:pt idx="39">
                  <c:v>2819000000</c:v>
                </c:pt>
                <c:pt idx="40">
                  <c:v>2266700</c:v>
                </c:pt>
                <c:pt idx="41">
                  <c:v>4030000</c:v>
                </c:pt>
                <c:pt idx="42">
                  <c:v>19931000</c:v>
                </c:pt>
                <c:pt idx="43">
                  <c:v>2266000</c:v>
                </c:pt>
                <c:pt idx="44">
                  <c:v>185843000</c:v>
                </c:pt>
                <c:pt idx="45">
                  <c:v>3522000</c:v>
                </c:pt>
                <c:pt idx="46">
                  <c:v>521628000</c:v>
                </c:pt>
                <c:pt idx="47">
                  <c:v>1355000000</c:v>
                </c:pt>
                <c:pt idx="48">
                  <c:v>42372000</c:v>
                </c:pt>
                <c:pt idx="49">
                  <c:v>636000</c:v>
                </c:pt>
                <c:pt idx="50">
                  <c:v>89685000</c:v>
                </c:pt>
                <c:pt idx="51">
                  <c:v>115524000</c:v>
                </c:pt>
                <c:pt idx="52">
                  <c:v>21496000</c:v>
                </c:pt>
                <c:pt idx="53">
                  <c:v>16322000</c:v>
                </c:pt>
                <c:pt idx="54">
                  <c:v>5505000</c:v>
                </c:pt>
                <c:pt idx="55">
                  <c:v>308900000</c:v>
                </c:pt>
                <c:pt idx="56">
                  <c:v>498495000</c:v>
                </c:pt>
                <c:pt idx="57">
                  <c:v>32557000</c:v>
                </c:pt>
                <c:pt idx="58">
                  <c:v>1917614</c:v>
                </c:pt>
                <c:pt idx="59">
                  <c:v>1218572</c:v>
                </c:pt>
                <c:pt idx="60">
                  <c:v>36862000</c:v>
                </c:pt>
                <c:pt idx="61">
                  <c:v>8062000</c:v>
                </c:pt>
                <c:pt idx="62">
                  <c:v>16697000</c:v>
                </c:pt>
                <c:pt idx="63">
                  <c:v>2440000000</c:v>
                </c:pt>
                <c:pt idx="64">
                  <c:v>1050398</c:v>
                </c:pt>
                <c:pt idx="65">
                  <c:v>79000</c:v>
                </c:pt>
                <c:pt idx="66">
                  <c:v>452600</c:v>
                </c:pt>
                <c:pt idx="67">
                  <c:v>43042000</c:v>
                </c:pt>
                <c:pt idx="68">
                  <c:v>41405000</c:v>
                </c:pt>
                <c:pt idx="69">
                  <c:v>43558000</c:v>
                </c:pt>
                <c:pt idx="70">
                  <c:v>123996000</c:v>
                </c:pt>
                <c:pt idx="71">
                  <c:v>34514000</c:v>
                </c:pt>
                <c:pt idx="72">
                  <c:v>14553000</c:v>
                </c:pt>
                <c:pt idx="73">
                  <c:v>2998000</c:v>
                </c:pt>
                <c:pt idx="74">
                  <c:v>1888953</c:v>
                </c:pt>
                <c:pt idx="75">
                  <c:v>2948356</c:v>
                </c:pt>
                <c:pt idx="76">
                  <c:v>4783000</c:v>
                </c:pt>
                <c:pt idx="77">
                  <c:v>331000</c:v>
                </c:pt>
                <c:pt idx="78">
                  <c:v>147375000</c:v>
                </c:pt>
                <c:pt idx="79">
                  <c:v>56425000</c:v>
                </c:pt>
                <c:pt idx="80">
                  <c:v>29622000</c:v>
                </c:pt>
                <c:pt idx="81">
                  <c:v>509000000</c:v>
                </c:pt>
                <c:pt idx="82">
                  <c:v>4408000</c:v>
                </c:pt>
                <c:pt idx="83">
                  <c:v>355392000</c:v>
                </c:pt>
                <c:pt idx="84">
                  <c:v>39474000</c:v>
                </c:pt>
              </c:numCache>
            </c:numRef>
          </c:yVal>
          <c:smooth val="0"/>
        </c:ser>
        <c:dLbls>
          <c:showLegendKey val="0"/>
          <c:showVal val="0"/>
          <c:showCatName val="0"/>
          <c:showSerName val="0"/>
          <c:showPercent val="0"/>
          <c:showBubbleSize val="0"/>
        </c:dLbls>
        <c:axId val="485387656"/>
        <c:axId val="485384520"/>
      </c:scatterChart>
      <c:valAx>
        <c:axId val="485387656"/>
        <c:scaling>
          <c:orientation val="minMax"/>
        </c:scaling>
        <c:delete val="0"/>
        <c:axPos val="b"/>
        <c:title>
          <c:tx>
            <c:rich>
              <a:bodyPr/>
              <a:lstStyle/>
              <a:p>
                <a:pPr>
                  <a:defRPr sz="800" b="0"/>
                </a:pPr>
                <a:r>
                  <a:rPr lang="en-US"/>
                  <a:t>Total Assets / Data Set #1</a:t>
                </a:r>
              </a:p>
            </c:rich>
          </c:tx>
          <c:overlay val="0"/>
        </c:title>
        <c:numFmt formatCode="General" sourceLinked="0"/>
        <c:majorTickMark val="out"/>
        <c:minorTickMark val="none"/>
        <c:tickLblPos val="nextTo"/>
        <c:txPr>
          <a:bodyPr/>
          <a:lstStyle/>
          <a:p>
            <a:pPr>
              <a:defRPr sz="800" b="0"/>
            </a:pPr>
            <a:endParaRPr lang="en-US"/>
          </a:p>
        </c:txPr>
        <c:crossAx val="485384520"/>
        <c:crosses val="autoZero"/>
        <c:crossBetween val="midCat"/>
      </c:valAx>
      <c:valAx>
        <c:axId val="485384520"/>
        <c:scaling>
          <c:orientation val="minMax"/>
        </c:scaling>
        <c:delete val="0"/>
        <c:axPos val="l"/>
        <c:title>
          <c:tx>
            <c:rich>
              <a:bodyPr/>
              <a:lstStyle/>
              <a:p>
                <a:pPr>
                  <a:defRPr sz="800" b="0"/>
                </a:pPr>
                <a:r>
                  <a:rPr lang="en-US"/>
                  <a:t>R&amp;D / Data Set #1</a:t>
                </a:r>
              </a:p>
            </c:rich>
          </c:tx>
          <c:overlay val="0"/>
        </c:title>
        <c:numFmt formatCode="General" sourceLinked="0"/>
        <c:majorTickMark val="out"/>
        <c:minorTickMark val="none"/>
        <c:tickLblPos val="nextTo"/>
        <c:txPr>
          <a:bodyPr/>
          <a:lstStyle/>
          <a:p>
            <a:pPr>
              <a:defRPr sz="800" b="0"/>
            </a:pPr>
            <a:endParaRPr lang="en-US"/>
          </a:p>
        </c:txPr>
        <c:crossAx val="485387656"/>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Current Assets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Scatterplot!ScatterX_362</c:f>
              <c:numCache>
                <c:formatCode>General</c:formatCode>
                <c:ptCount val="85"/>
                <c:pt idx="0">
                  <c:v>944913000</c:v>
                </c:pt>
                <c:pt idx="1">
                  <c:v>3961000000</c:v>
                </c:pt>
                <c:pt idx="2">
                  <c:v>242116000</c:v>
                </c:pt>
                <c:pt idx="3">
                  <c:v>8301000</c:v>
                </c:pt>
                <c:pt idx="4">
                  <c:v>2490636000</c:v>
                </c:pt>
                <c:pt idx="5">
                  <c:v>127031000</c:v>
                </c:pt>
                <c:pt idx="6">
                  <c:v>36265000000</c:v>
                </c:pt>
                <c:pt idx="7">
                  <c:v>113514000</c:v>
                </c:pt>
                <c:pt idx="8">
                  <c:v>174717000</c:v>
                </c:pt>
                <c:pt idx="9">
                  <c:v>48022662</c:v>
                </c:pt>
                <c:pt idx="10">
                  <c:v>5611956</c:v>
                </c:pt>
                <c:pt idx="11">
                  <c:v>5611956</c:v>
                </c:pt>
                <c:pt idx="12">
                  <c:v>218078000</c:v>
                </c:pt>
                <c:pt idx="13">
                  <c:v>2914332000</c:v>
                </c:pt>
                <c:pt idx="14">
                  <c:v>316852000</c:v>
                </c:pt>
                <c:pt idx="15">
                  <c:v>1654119</c:v>
                </c:pt>
                <c:pt idx="16">
                  <c:v>155148000</c:v>
                </c:pt>
                <c:pt idx="17">
                  <c:v>44177000000</c:v>
                </c:pt>
                <c:pt idx="18">
                  <c:v>28315000</c:v>
                </c:pt>
                <c:pt idx="19">
                  <c:v>689051000</c:v>
                </c:pt>
                <c:pt idx="20">
                  <c:v>5521000000</c:v>
                </c:pt>
                <c:pt idx="21">
                  <c:v>155206000</c:v>
                </c:pt>
                <c:pt idx="22">
                  <c:v>629436000</c:v>
                </c:pt>
                <c:pt idx="23">
                  <c:v>584858000</c:v>
                </c:pt>
                <c:pt idx="24">
                  <c:v>104533902</c:v>
                </c:pt>
                <c:pt idx="25">
                  <c:v>206973000</c:v>
                </c:pt>
                <c:pt idx="26">
                  <c:v>20151000000</c:v>
                </c:pt>
                <c:pt idx="27">
                  <c:v>122655000</c:v>
                </c:pt>
                <c:pt idx="28">
                  <c:v>206222000</c:v>
                </c:pt>
                <c:pt idx="29">
                  <c:v>900838000</c:v>
                </c:pt>
                <c:pt idx="30">
                  <c:v>12003068</c:v>
                </c:pt>
                <c:pt idx="31">
                  <c:v>4451032</c:v>
                </c:pt>
                <c:pt idx="32">
                  <c:v>406553000</c:v>
                </c:pt>
                <c:pt idx="33">
                  <c:v>3889548</c:v>
                </c:pt>
                <c:pt idx="34">
                  <c:v>116441000</c:v>
                </c:pt>
                <c:pt idx="35">
                  <c:v>468182000</c:v>
                </c:pt>
                <c:pt idx="36">
                  <c:v>109865000</c:v>
                </c:pt>
                <c:pt idx="37">
                  <c:v>67371000</c:v>
                </c:pt>
                <c:pt idx="38">
                  <c:v>632016000</c:v>
                </c:pt>
                <c:pt idx="39">
                  <c:v>52539000000</c:v>
                </c:pt>
                <c:pt idx="40">
                  <c:v>2901600</c:v>
                </c:pt>
                <c:pt idx="41">
                  <c:v>33231000</c:v>
                </c:pt>
                <c:pt idx="42">
                  <c:v>185220000</c:v>
                </c:pt>
                <c:pt idx="43">
                  <c:v>61055000</c:v>
                </c:pt>
                <c:pt idx="44">
                  <c:v>1089251000</c:v>
                </c:pt>
                <c:pt idx="45">
                  <c:v>43816000</c:v>
                </c:pt>
                <c:pt idx="46">
                  <c:v>1584951000</c:v>
                </c:pt>
                <c:pt idx="47">
                  <c:v>7460000000</c:v>
                </c:pt>
                <c:pt idx="48">
                  <c:v>146105000</c:v>
                </c:pt>
                <c:pt idx="49">
                  <c:v>18593000</c:v>
                </c:pt>
                <c:pt idx="50">
                  <c:v>646107000</c:v>
                </c:pt>
                <c:pt idx="51">
                  <c:v>1742789000</c:v>
                </c:pt>
                <c:pt idx="52">
                  <c:v>48534000</c:v>
                </c:pt>
                <c:pt idx="53">
                  <c:v>285558000</c:v>
                </c:pt>
                <c:pt idx="54">
                  <c:v>348563000</c:v>
                </c:pt>
                <c:pt idx="55">
                  <c:v>1087200000</c:v>
                </c:pt>
                <c:pt idx="56">
                  <c:v>3438784000</c:v>
                </c:pt>
                <c:pt idx="57">
                  <c:v>180763000</c:v>
                </c:pt>
                <c:pt idx="58">
                  <c:v>2416530</c:v>
                </c:pt>
                <c:pt idx="59">
                  <c:v>8826418</c:v>
                </c:pt>
                <c:pt idx="60">
                  <c:v>323243000</c:v>
                </c:pt>
                <c:pt idx="61">
                  <c:v>95742000</c:v>
                </c:pt>
                <c:pt idx="62">
                  <c:v>161378000</c:v>
                </c:pt>
                <c:pt idx="63">
                  <c:v>12570000000</c:v>
                </c:pt>
                <c:pt idx="64">
                  <c:v>15769656</c:v>
                </c:pt>
                <c:pt idx="65">
                  <c:v>25724000</c:v>
                </c:pt>
                <c:pt idx="66">
                  <c:v>3903600</c:v>
                </c:pt>
                <c:pt idx="67">
                  <c:v>140814000</c:v>
                </c:pt>
                <c:pt idx="68">
                  <c:v>313702000</c:v>
                </c:pt>
                <c:pt idx="69">
                  <c:v>193810000</c:v>
                </c:pt>
                <c:pt idx="70">
                  <c:v>590127000</c:v>
                </c:pt>
                <c:pt idx="71">
                  <c:v>220018000</c:v>
                </c:pt>
                <c:pt idx="72">
                  <c:v>95220000</c:v>
                </c:pt>
                <c:pt idx="73">
                  <c:v>25358000</c:v>
                </c:pt>
                <c:pt idx="74">
                  <c:v>8982769</c:v>
                </c:pt>
                <c:pt idx="75">
                  <c:v>6142741</c:v>
                </c:pt>
                <c:pt idx="76">
                  <c:v>33569000</c:v>
                </c:pt>
                <c:pt idx="77">
                  <c:v>2056000</c:v>
                </c:pt>
                <c:pt idx="78">
                  <c:v>1672451000</c:v>
                </c:pt>
                <c:pt idx="79">
                  <c:v>559847000</c:v>
                </c:pt>
                <c:pt idx="80">
                  <c:v>338824000</c:v>
                </c:pt>
                <c:pt idx="81">
                  <c:v>3230000000</c:v>
                </c:pt>
                <c:pt idx="82">
                  <c:v>96193000</c:v>
                </c:pt>
                <c:pt idx="83">
                  <c:v>1752468000</c:v>
                </c:pt>
                <c:pt idx="84">
                  <c:v>230119000</c:v>
                </c:pt>
              </c:numCache>
            </c:numRef>
          </c:xVal>
          <c:yVal>
            <c:numRef>
              <c:f>Scatterplot!ScatterY_362</c:f>
              <c:numCache>
                <c:formatCode>General</c:formatCode>
                <c:ptCount val="85"/>
                <c:pt idx="0">
                  <c:v>179979000</c:v>
                </c:pt>
                <c:pt idx="1">
                  <c:v>642000000</c:v>
                </c:pt>
                <c:pt idx="2">
                  <c:v>18070000</c:v>
                </c:pt>
                <c:pt idx="3">
                  <c:v>1932000</c:v>
                </c:pt>
                <c:pt idx="4">
                  <c:v>446980000</c:v>
                </c:pt>
                <c:pt idx="5">
                  <c:v>12986000</c:v>
                </c:pt>
                <c:pt idx="6">
                  <c:v>1333000000</c:v>
                </c:pt>
                <c:pt idx="7">
                  <c:v>14482000</c:v>
                </c:pt>
                <c:pt idx="8">
                  <c:v>8990000</c:v>
                </c:pt>
                <c:pt idx="9">
                  <c:v>4884767</c:v>
                </c:pt>
                <c:pt idx="10">
                  <c:v>90572</c:v>
                </c:pt>
                <c:pt idx="11">
                  <c:v>1601525</c:v>
                </c:pt>
                <c:pt idx="12">
                  <c:v>76680000</c:v>
                </c:pt>
                <c:pt idx="13">
                  <c:v>1534918000</c:v>
                </c:pt>
                <c:pt idx="14">
                  <c:v>48150000</c:v>
                </c:pt>
                <c:pt idx="15">
                  <c:v>5535</c:v>
                </c:pt>
                <c:pt idx="16">
                  <c:v>44315000</c:v>
                </c:pt>
                <c:pt idx="17">
                  <c:v>5208000000</c:v>
                </c:pt>
                <c:pt idx="18">
                  <c:v>7541000</c:v>
                </c:pt>
                <c:pt idx="19">
                  <c:v>50010000</c:v>
                </c:pt>
                <c:pt idx="20">
                  <c:v>563000000</c:v>
                </c:pt>
                <c:pt idx="21">
                  <c:v>10520000</c:v>
                </c:pt>
                <c:pt idx="22">
                  <c:v>71363000</c:v>
                </c:pt>
                <c:pt idx="23">
                  <c:v>8173000</c:v>
                </c:pt>
                <c:pt idx="24">
                  <c:v>19732941</c:v>
                </c:pt>
                <c:pt idx="25">
                  <c:v>21619000</c:v>
                </c:pt>
                <c:pt idx="26">
                  <c:v>665000000</c:v>
                </c:pt>
                <c:pt idx="27">
                  <c:v>26381000</c:v>
                </c:pt>
                <c:pt idx="28">
                  <c:v>28979000</c:v>
                </c:pt>
                <c:pt idx="29">
                  <c:v>71557000</c:v>
                </c:pt>
                <c:pt idx="30">
                  <c:v>993338</c:v>
                </c:pt>
                <c:pt idx="31">
                  <c:v>518649</c:v>
                </c:pt>
                <c:pt idx="32">
                  <c:v>129795000</c:v>
                </c:pt>
                <c:pt idx="33">
                  <c:v>1138677</c:v>
                </c:pt>
                <c:pt idx="34">
                  <c:v>58176000</c:v>
                </c:pt>
                <c:pt idx="35">
                  <c:v>103664000</c:v>
                </c:pt>
                <c:pt idx="36">
                  <c:v>2392000</c:v>
                </c:pt>
                <c:pt idx="37">
                  <c:v>5737000</c:v>
                </c:pt>
                <c:pt idx="38">
                  <c:v>18323000</c:v>
                </c:pt>
                <c:pt idx="39">
                  <c:v>2819000000</c:v>
                </c:pt>
                <c:pt idx="40">
                  <c:v>2266700</c:v>
                </c:pt>
                <c:pt idx="41">
                  <c:v>4030000</c:v>
                </c:pt>
                <c:pt idx="42">
                  <c:v>19931000</c:v>
                </c:pt>
                <c:pt idx="43">
                  <c:v>2266000</c:v>
                </c:pt>
                <c:pt idx="44">
                  <c:v>185843000</c:v>
                </c:pt>
                <c:pt idx="45">
                  <c:v>3522000</c:v>
                </c:pt>
                <c:pt idx="46">
                  <c:v>521628000</c:v>
                </c:pt>
                <c:pt idx="47">
                  <c:v>1355000000</c:v>
                </c:pt>
                <c:pt idx="48">
                  <c:v>42372000</c:v>
                </c:pt>
                <c:pt idx="49">
                  <c:v>636000</c:v>
                </c:pt>
                <c:pt idx="50">
                  <c:v>89685000</c:v>
                </c:pt>
                <c:pt idx="51">
                  <c:v>115524000</c:v>
                </c:pt>
                <c:pt idx="52">
                  <c:v>21496000</c:v>
                </c:pt>
                <c:pt idx="53">
                  <c:v>16322000</c:v>
                </c:pt>
                <c:pt idx="54">
                  <c:v>5505000</c:v>
                </c:pt>
                <c:pt idx="55">
                  <c:v>308900000</c:v>
                </c:pt>
                <c:pt idx="56">
                  <c:v>498495000</c:v>
                </c:pt>
                <c:pt idx="57">
                  <c:v>32557000</c:v>
                </c:pt>
                <c:pt idx="58">
                  <c:v>1917614</c:v>
                </c:pt>
                <c:pt idx="59">
                  <c:v>1218572</c:v>
                </c:pt>
                <c:pt idx="60">
                  <c:v>36862000</c:v>
                </c:pt>
                <c:pt idx="61">
                  <c:v>8062000</c:v>
                </c:pt>
                <c:pt idx="62">
                  <c:v>16697000</c:v>
                </c:pt>
                <c:pt idx="63">
                  <c:v>2440000000</c:v>
                </c:pt>
                <c:pt idx="64">
                  <c:v>1050398</c:v>
                </c:pt>
                <c:pt idx="65">
                  <c:v>79000</c:v>
                </c:pt>
                <c:pt idx="66">
                  <c:v>452600</c:v>
                </c:pt>
                <c:pt idx="67">
                  <c:v>43042000</c:v>
                </c:pt>
                <c:pt idx="68">
                  <c:v>41405000</c:v>
                </c:pt>
                <c:pt idx="69">
                  <c:v>43558000</c:v>
                </c:pt>
                <c:pt idx="70">
                  <c:v>123996000</c:v>
                </c:pt>
                <c:pt idx="71">
                  <c:v>34514000</c:v>
                </c:pt>
                <c:pt idx="72">
                  <c:v>14553000</c:v>
                </c:pt>
                <c:pt idx="73">
                  <c:v>2998000</c:v>
                </c:pt>
                <c:pt idx="74">
                  <c:v>1888953</c:v>
                </c:pt>
                <c:pt idx="75">
                  <c:v>2948356</c:v>
                </c:pt>
                <c:pt idx="76">
                  <c:v>4783000</c:v>
                </c:pt>
                <c:pt idx="77">
                  <c:v>331000</c:v>
                </c:pt>
                <c:pt idx="78">
                  <c:v>147375000</c:v>
                </c:pt>
                <c:pt idx="79">
                  <c:v>56425000</c:v>
                </c:pt>
                <c:pt idx="80">
                  <c:v>29622000</c:v>
                </c:pt>
                <c:pt idx="81">
                  <c:v>509000000</c:v>
                </c:pt>
                <c:pt idx="82">
                  <c:v>4408000</c:v>
                </c:pt>
                <c:pt idx="83">
                  <c:v>355392000</c:v>
                </c:pt>
                <c:pt idx="84">
                  <c:v>39474000</c:v>
                </c:pt>
              </c:numCache>
            </c:numRef>
          </c:yVal>
          <c:smooth val="0"/>
        </c:ser>
        <c:dLbls>
          <c:showLegendKey val="0"/>
          <c:showVal val="0"/>
          <c:showCatName val="0"/>
          <c:showSerName val="0"/>
          <c:showPercent val="0"/>
          <c:showBubbleSize val="0"/>
        </c:dLbls>
        <c:axId val="1055962264"/>
        <c:axId val="1055966184"/>
      </c:scatterChart>
      <c:valAx>
        <c:axId val="1055962264"/>
        <c:scaling>
          <c:orientation val="minMax"/>
        </c:scaling>
        <c:delete val="0"/>
        <c:axPos val="b"/>
        <c:title>
          <c:tx>
            <c:rich>
              <a:bodyPr/>
              <a:lstStyle/>
              <a:p>
                <a:pPr>
                  <a:defRPr sz="800" b="0"/>
                </a:pPr>
                <a:r>
                  <a:rPr lang="en-US"/>
                  <a:t>Current Assets / Data Set #1</a:t>
                </a:r>
              </a:p>
            </c:rich>
          </c:tx>
          <c:overlay val="0"/>
        </c:title>
        <c:numFmt formatCode="General" sourceLinked="0"/>
        <c:majorTickMark val="out"/>
        <c:minorTickMark val="none"/>
        <c:tickLblPos val="nextTo"/>
        <c:txPr>
          <a:bodyPr/>
          <a:lstStyle/>
          <a:p>
            <a:pPr>
              <a:defRPr sz="800" b="0"/>
            </a:pPr>
            <a:endParaRPr lang="en-US"/>
          </a:p>
        </c:txPr>
        <c:crossAx val="1055966184"/>
        <c:crosses val="autoZero"/>
        <c:crossBetween val="midCat"/>
      </c:valAx>
      <c:valAx>
        <c:axId val="1055966184"/>
        <c:scaling>
          <c:orientation val="minMax"/>
        </c:scaling>
        <c:delete val="0"/>
        <c:axPos val="l"/>
        <c:title>
          <c:tx>
            <c:rich>
              <a:bodyPr/>
              <a:lstStyle/>
              <a:p>
                <a:pPr>
                  <a:defRPr sz="800" b="0"/>
                </a:pPr>
                <a:r>
                  <a:rPr lang="en-US"/>
                  <a:t>R&amp;D / Data Set #1</a:t>
                </a:r>
              </a:p>
            </c:rich>
          </c:tx>
          <c:overlay val="0"/>
        </c:title>
        <c:numFmt formatCode="General" sourceLinked="0"/>
        <c:majorTickMark val="out"/>
        <c:minorTickMark val="none"/>
        <c:tickLblPos val="nextTo"/>
        <c:txPr>
          <a:bodyPr/>
          <a:lstStyle/>
          <a:p>
            <a:pPr>
              <a:defRPr sz="800" b="0"/>
            </a:pPr>
            <a:endParaRPr lang="en-US"/>
          </a:p>
        </c:txPr>
        <c:crossAx val="1055962264"/>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Long Term Debt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Scatterplot!ScatterX_A89AD</c:f>
              <c:numCache>
                <c:formatCode>General</c:formatCode>
                <c:ptCount val="48"/>
                <c:pt idx="0">
                  <c:v>152000000</c:v>
                </c:pt>
                <c:pt idx="1">
                  <c:v>2904000000</c:v>
                </c:pt>
                <c:pt idx="2">
                  <c:v>8377000</c:v>
                </c:pt>
                <c:pt idx="3">
                  <c:v>594000</c:v>
                </c:pt>
                <c:pt idx="4">
                  <c:v>379626000</c:v>
                </c:pt>
                <c:pt idx="5">
                  <c:v>40000000</c:v>
                </c:pt>
                <c:pt idx="6">
                  <c:v>2500000</c:v>
                </c:pt>
                <c:pt idx="7">
                  <c:v>13000</c:v>
                </c:pt>
                <c:pt idx="8">
                  <c:v>76347000</c:v>
                </c:pt>
                <c:pt idx="9">
                  <c:v>1308000</c:v>
                </c:pt>
                <c:pt idx="10">
                  <c:v>390520</c:v>
                </c:pt>
                <c:pt idx="11">
                  <c:v>2077000</c:v>
                </c:pt>
                <c:pt idx="12">
                  <c:v>10295000000</c:v>
                </c:pt>
                <c:pt idx="13">
                  <c:v>200000000</c:v>
                </c:pt>
                <c:pt idx="14">
                  <c:v>1930000000</c:v>
                </c:pt>
                <c:pt idx="15">
                  <c:v>194922000</c:v>
                </c:pt>
                <c:pt idx="16">
                  <c:v>20570000</c:v>
                </c:pt>
                <c:pt idx="17">
                  <c:v>62339000</c:v>
                </c:pt>
                <c:pt idx="18">
                  <c:v>23000</c:v>
                </c:pt>
                <c:pt idx="19">
                  <c:v>1898000000</c:v>
                </c:pt>
                <c:pt idx="20">
                  <c:v>5825000</c:v>
                </c:pt>
                <c:pt idx="21">
                  <c:v>2881659</c:v>
                </c:pt>
                <c:pt idx="22">
                  <c:v>13980000000</c:v>
                </c:pt>
                <c:pt idx="23">
                  <c:v>5274000</c:v>
                </c:pt>
                <c:pt idx="24">
                  <c:v>22017000</c:v>
                </c:pt>
                <c:pt idx="25">
                  <c:v>2412000</c:v>
                </c:pt>
                <c:pt idx="26">
                  <c:v>1405644000</c:v>
                </c:pt>
                <c:pt idx="27">
                  <c:v>4000</c:v>
                </c:pt>
                <c:pt idx="28">
                  <c:v>6772000000</c:v>
                </c:pt>
                <c:pt idx="29">
                  <c:v>2000</c:v>
                </c:pt>
                <c:pt idx="30">
                  <c:v>203590000</c:v>
                </c:pt>
                <c:pt idx="31">
                  <c:v>1149184000</c:v>
                </c:pt>
                <c:pt idx="32">
                  <c:v>7813000</c:v>
                </c:pt>
                <c:pt idx="33">
                  <c:v>10852000</c:v>
                </c:pt>
                <c:pt idx="34">
                  <c:v>1227400000</c:v>
                </c:pt>
                <c:pt idx="35">
                  <c:v>1265000000</c:v>
                </c:pt>
                <c:pt idx="36">
                  <c:v>6543</c:v>
                </c:pt>
                <c:pt idx="37">
                  <c:v>39803000</c:v>
                </c:pt>
                <c:pt idx="38">
                  <c:v>8820000</c:v>
                </c:pt>
                <c:pt idx="39">
                  <c:v>1610000</c:v>
                </c:pt>
                <c:pt idx="40">
                  <c:v>47116000</c:v>
                </c:pt>
                <c:pt idx="41">
                  <c:v>9741000</c:v>
                </c:pt>
                <c:pt idx="42">
                  <c:v>6079000</c:v>
                </c:pt>
                <c:pt idx="43">
                  <c:v>588000</c:v>
                </c:pt>
                <c:pt idx="44">
                  <c:v>23394000</c:v>
                </c:pt>
                <c:pt idx="45">
                  <c:v>12500000</c:v>
                </c:pt>
                <c:pt idx="46">
                  <c:v>400000000</c:v>
                </c:pt>
                <c:pt idx="47">
                  <c:v>690125000</c:v>
                </c:pt>
              </c:numCache>
            </c:numRef>
          </c:xVal>
          <c:yVal>
            <c:numRef>
              <c:f>Scatterplot!ScatterY_A89AD</c:f>
              <c:numCache>
                <c:formatCode>General</c:formatCode>
                <c:ptCount val="48"/>
                <c:pt idx="0">
                  <c:v>179979000</c:v>
                </c:pt>
                <c:pt idx="1">
                  <c:v>642000000</c:v>
                </c:pt>
                <c:pt idx="2">
                  <c:v>18070000</c:v>
                </c:pt>
                <c:pt idx="3">
                  <c:v>1932000</c:v>
                </c:pt>
                <c:pt idx="4">
                  <c:v>446980000</c:v>
                </c:pt>
                <c:pt idx="5">
                  <c:v>12986000</c:v>
                </c:pt>
                <c:pt idx="6">
                  <c:v>14482000</c:v>
                </c:pt>
                <c:pt idx="7">
                  <c:v>8990000</c:v>
                </c:pt>
                <c:pt idx="8">
                  <c:v>76680000</c:v>
                </c:pt>
                <c:pt idx="9">
                  <c:v>48150000</c:v>
                </c:pt>
                <c:pt idx="10">
                  <c:v>5535</c:v>
                </c:pt>
                <c:pt idx="11">
                  <c:v>44315000</c:v>
                </c:pt>
                <c:pt idx="12">
                  <c:v>5208000000</c:v>
                </c:pt>
                <c:pt idx="13">
                  <c:v>50010000</c:v>
                </c:pt>
                <c:pt idx="14">
                  <c:v>563000000</c:v>
                </c:pt>
                <c:pt idx="15">
                  <c:v>10520000</c:v>
                </c:pt>
                <c:pt idx="16">
                  <c:v>8173000</c:v>
                </c:pt>
                <c:pt idx="17">
                  <c:v>19732941</c:v>
                </c:pt>
                <c:pt idx="18">
                  <c:v>21619000</c:v>
                </c:pt>
                <c:pt idx="19">
                  <c:v>665000000</c:v>
                </c:pt>
                <c:pt idx="20">
                  <c:v>71557000</c:v>
                </c:pt>
                <c:pt idx="21">
                  <c:v>993338</c:v>
                </c:pt>
                <c:pt idx="22">
                  <c:v>2819000000</c:v>
                </c:pt>
                <c:pt idx="23">
                  <c:v>4030000</c:v>
                </c:pt>
                <c:pt idx="24">
                  <c:v>19931000</c:v>
                </c:pt>
                <c:pt idx="25">
                  <c:v>2266000</c:v>
                </c:pt>
                <c:pt idx="26">
                  <c:v>185843000</c:v>
                </c:pt>
                <c:pt idx="27">
                  <c:v>3522000</c:v>
                </c:pt>
                <c:pt idx="28">
                  <c:v>1355000000</c:v>
                </c:pt>
                <c:pt idx="29">
                  <c:v>42372000</c:v>
                </c:pt>
                <c:pt idx="30">
                  <c:v>89685000</c:v>
                </c:pt>
                <c:pt idx="31">
                  <c:v>115524000</c:v>
                </c:pt>
                <c:pt idx="32">
                  <c:v>21496000</c:v>
                </c:pt>
                <c:pt idx="33">
                  <c:v>5505000</c:v>
                </c:pt>
                <c:pt idx="34">
                  <c:v>308900000</c:v>
                </c:pt>
                <c:pt idx="35">
                  <c:v>498495000</c:v>
                </c:pt>
                <c:pt idx="36">
                  <c:v>1917614</c:v>
                </c:pt>
                <c:pt idx="37">
                  <c:v>36862000</c:v>
                </c:pt>
                <c:pt idx="38">
                  <c:v>8062000</c:v>
                </c:pt>
                <c:pt idx="39">
                  <c:v>16697000</c:v>
                </c:pt>
                <c:pt idx="40">
                  <c:v>123996000</c:v>
                </c:pt>
                <c:pt idx="41">
                  <c:v>34514000</c:v>
                </c:pt>
                <c:pt idx="42">
                  <c:v>2998000</c:v>
                </c:pt>
                <c:pt idx="43">
                  <c:v>331000</c:v>
                </c:pt>
                <c:pt idx="44">
                  <c:v>147375000</c:v>
                </c:pt>
                <c:pt idx="45">
                  <c:v>56425000</c:v>
                </c:pt>
                <c:pt idx="46">
                  <c:v>509000000</c:v>
                </c:pt>
                <c:pt idx="47">
                  <c:v>355392000</c:v>
                </c:pt>
              </c:numCache>
            </c:numRef>
          </c:yVal>
          <c:smooth val="0"/>
        </c:ser>
        <c:dLbls>
          <c:showLegendKey val="0"/>
          <c:showVal val="0"/>
          <c:showCatName val="0"/>
          <c:showSerName val="0"/>
          <c:showPercent val="0"/>
          <c:showBubbleSize val="0"/>
        </c:dLbls>
        <c:axId val="1055965008"/>
        <c:axId val="1055965400"/>
      </c:scatterChart>
      <c:valAx>
        <c:axId val="1055965008"/>
        <c:scaling>
          <c:orientation val="minMax"/>
        </c:scaling>
        <c:delete val="0"/>
        <c:axPos val="b"/>
        <c:title>
          <c:tx>
            <c:rich>
              <a:bodyPr/>
              <a:lstStyle/>
              <a:p>
                <a:pPr>
                  <a:defRPr sz="800" b="0"/>
                </a:pPr>
                <a:r>
                  <a:rPr lang="en-US"/>
                  <a:t>Long Term Debt / Data Set #1</a:t>
                </a:r>
              </a:p>
            </c:rich>
          </c:tx>
          <c:overlay val="0"/>
        </c:title>
        <c:numFmt formatCode="General" sourceLinked="0"/>
        <c:majorTickMark val="out"/>
        <c:minorTickMark val="none"/>
        <c:tickLblPos val="nextTo"/>
        <c:txPr>
          <a:bodyPr/>
          <a:lstStyle/>
          <a:p>
            <a:pPr>
              <a:defRPr sz="800" b="0"/>
            </a:pPr>
            <a:endParaRPr lang="en-US"/>
          </a:p>
        </c:txPr>
        <c:crossAx val="1055965400"/>
        <c:crosses val="autoZero"/>
        <c:crossBetween val="midCat"/>
      </c:valAx>
      <c:valAx>
        <c:axId val="1055965400"/>
        <c:scaling>
          <c:orientation val="minMax"/>
        </c:scaling>
        <c:delete val="0"/>
        <c:axPos val="l"/>
        <c:title>
          <c:tx>
            <c:rich>
              <a:bodyPr/>
              <a:lstStyle/>
              <a:p>
                <a:pPr>
                  <a:defRPr sz="800" b="0"/>
                </a:pPr>
                <a:r>
                  <a:rPr lang="en-US"/>
                  <a:t>R&amp;D / Data Set #1</a:t>
                </a:r>
              </a:p>
            </c:rich>
          </c:tx>
          <c:overlay val="0"/>
        </c:title>
        <c:numFmt formatCode="General" sourceLinked="0"/>
        <c:majorTickMark val="out"/>
        <c:minorTickMark val="none"/>
        <c:tickLblPos val="nextTo"/>
        <c:txPr>
          <a:bodyPr/>
          <a:lstStyle/>
          <a:p>
            <a:pPr>
              <a:defRPr sz="800" b="0"/>
            </a:pPr>
            <a:endParaRPr lang="en-US"/>
          </a:p>
        </c:txPr>
        <c:crossAx val="1055965008"/>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R&amp;D vs Stockholders' Equity of Data Set #1</a:t>
            </a:r>
          </a:p>
        </c:rich>
      </c:tx>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Scatterplot!ScatterX_5ED51</c:f>
              <c:numCache>
                <c:formatCode>General</c:formatCode>
                <c:ptCount val="85"/>
                <c:pt idx="0">
                  <c:v>1112175000</c:v>
                </c:pt>
                <c:pt idx="1">
                  <c:v>2506000000</c:v>
                </c:pt>
                <c:pt idx="2">
                  <c:v>182066000</c:v>
                </c:pt>
                <c:pt idx="3">
                  <c:v>13528000</c:v>
                </c:pt>
                <c:pt idx="4">
                  <c:v>2529149000</c:v>
                </c:pt>
                <c:pt idx="5">
                  <c:v>160945000</c:v>
                </c:pt>
                <c:pt idx="6">
                  <c:v>27832000000</c:v>
                </c:pt>
                <c:pt idx="7">
                  <c:v>139025000</c:v>
                </c:pt>
                <c:pt idx="8">
                  <c:v>319578000</c:v>
                </c:pt>
                <c:pt idx="9">
                  <c:v>51471485</c:v>
                </c:pt>
                <c:pt idx="10">
                  <c:v>5658939</c:v>
                </c:pt>
                <c:pt idx="11">
                  <c:v>5658939</c:v>
                </c:pt>
                <c:pt idx="12">
                  <c:v>281609000</c:v>
                </c:pt>
                <c:pt idx="13">
                  <c:v>3891846000</c:v>
                </c:pt>
                <c:pt idx="14">
                  <c:v>470729000</c:v>
                </c:pt>
                <c:pt idx="15">
                  <c:v>88286</c:v>
                </c:pt>
                <c:pt idx="16">
                  <c:v>172928000</c:v>
                </c:pt>
                <c:pt idx="17">
                  <c:v>38647000000</c:v>
                </c:pt>
                <c:pt idx="18">
                  <c:v>28486000</c:v>
                </c:pt>
                <c:pt idx="19">
                  <c:v>629129000</c:v>
                </c:pt>
                <c:pt idx="20">
                  <c:v>15543000000</c:v>
                </c:pt>
                <c:pt idx="21">
                  <c:v>173553000</c:v>
                </c:pt>
                <c:pt idx="22">
                  <c:v>1224748000</c:v>
                </c:pt>
                <c:pt idx="23">
                  <c:v>420845000</c:v>
                </c:pt>
                <c:pt idx="24">
                  <c:v>24411844</c:v>
                </c:pt>
                <c:pt idx="25">
                  <c:v>211911000</c:v>
                </c:pt>
                <c:pt idx="26">
                  <c:v>4271000000</c:v>
                </c:pt>
                <c:pt idx="27">
                  <c:v>229586000</c:v>
                </c:pt>
                <c:pt idx="28">
                  <c:v>222414000</c:v>
                </c:pt>
                <c:pt idx="29">
                  <c:v>1341108000</c:v>
                </c:pt>
                <c:pt idx="30">
                  <c:v>6419749</c:v>
                </c:pt>
                <c:pt idx="31">
                  <c:v>3279863</c:v>
                </c:pt>
                <c:pt idx="32">
                  <c:v>569444000</c:v>
                </c:pt>
                <c:pt idx="33">
                  <c:v>3260837</c:v>
                </c:pt>
                <c:pt idx="34">
                  <c:v>141510000</c:v>
                </c:pt>
                <c:pt idx="35">
                  <c:v>799020000</c:v>
                </c:pt>
                <c:pt idx="36">
                  <c:v>154812000</c:v>
                </c:pt>
                <c:pt idx="37">
                  <c:v>84705000</c:v>
                </c:pt>
                <c:pt idx="38">
                  <c:v>81905000</c:v>
                </c:pt>
                <c:pt idx="39">
                  <c:v>40517000000</c:v>
                </c:pt>
                <c:pt idx="40">
                  <c:v>-4703300</c:v>
                </c:pt>
                <c:pt idx="41">
                  <c:v>55358000</c:v>
                </c:pt>
                <c:pt idx="42">
                  <c:v>178492000</c:v>
                </c:pt>
                <c:pt idx="43">
                  <c:v>51114000</c:v>
                </c:pt>
                <c:pt idx="44">
                  <c:v>-266602000</c:v>
                </c:pt>
                <c:pt idx="45">
                  <c:v>-11291000</c:v>
                </c:pt>
                <c:pt idx="46">
                  <c:v>2594465000</c:v>
                </c:pt>
                <c:pt idx="47">
                  <c:v>12851000000</c:v>
                </c:pt>
                <c:pt idx="48">
                  <c:v>145037000</c:v>
                </c:pt>
                <c:pt idx="49">
                  <c:v>27602000</c:v>
                </c:pt>
                <c:pt idx="50">
                  <c:v>711138000</c:v>
                </c:pt>
                <c:pt idx="51">
                  <c:v>990766000</c:v>
                </c:pt>
                <c:pt idx="52">
                  <c:v>26661000</c:v>
                </c:pt>
                <c:pt idx="53">
                  <c:v>203965000</c:v>
                </c:pt>
                <c:pt idx="54">
                  <c:v>358988000</c:v>
                </c:pt>
                <c:pt idx="55">
                  <c:v>177000000</c:v>
                </c:pt>
                <c:pt idx="56">
                  <c:v>1662346000</c:v>
                </c:pt>
                <c:pt idx="57">
                  <c:v>176622000</c:v>
                </c:pt>
                <c:pt idx="58">
                  <c:v>-1135342</c:v>
                </c:pt>
                <c:pt idx="59">
                  <c:v>41567571</c:v>
                </c:pt>
                <c:pt idx="60">
                  <c:v>276000000</c:v>
                </c:pt>
                <c:pt idx="61">
                  <c:v>118658000</c:v>
                </c:pt>
                <c:pt idx="62">
                  <c:v>212208000</c:v>
                </c:pt>
                <c:pt idx="63">
                  <c:v>20316000000</c:v>
                </c:pt>
                <c:pt idx="64">
                  <c:v>15253482</c:v>
                </c:pt>
                <c:pt idx="65">
                  <c:v>26099000</c:v>
                </c:pt>
                <c:pt idx="66">
                  <c:v>3910500</c:v>
                </c:pt>
                <c:pt idx="67">
                  <c:v>172236000</c:v>
                </c:pt>
                <c:pt idx="68">
                  <c:v>378020000</c:v>
                </c:pt>
                <c:pt idx="69">
                  <c:v>305250000</c:v>
                </c:pt>
                <c:pt idx="70">
                  <c:v>1105129000</c:v>
                </c:pt>
                <c:pt idx="71">
                  <c:v>178622000</c:v>
                </c:pt>
                <c:pt idx="72">
                  <c:v>167576000</c:v>
                </c:pt>
                <c:pt idx="73">
                  <c:v>38130000</c:v>
                </c:pt>
                <c:pt idx="74">
                  <c:v>6712658</c:v>
                </c:pt>
                <c:pt idx="75">
                  <c:v>4603520</c:v>
                </c:pt>
                <c:pt idx="76">
                  <c:v>35422000</c:v>
                </c:pt>
                <c:pt idx="77">
                  <c:v>1969000</c:v>
                </c:pt>
                <c:pt idx="78">
                  <c:v>1311783000</c:v>
                </c:pt>
                <c:pt idx="79">
                  <c:v>638271000</c:v>
                </c:pt>
                <c:pt idx="80">
                  <c:v>458748000</c:v>
                </c:pt>
                <c:pt idx="81">
                  <c:v>3192000000</c:v>
                </c:pt>
                <c:pt idx="82">
                  <c:v>101890000</c:v>
                </c:pt>
                <c:pt idx="83">
                  <c:v>1737900000</c:v>
                </c:pt>
                <c:pt idx="84">
                  <c:v>280558000</c:v>
                </c:pt>
              </c:numCache>
            </c:numRef>
          </c:xVal>
          <c:yVal>
            <c:numRef>
              <c:f>Scatterplot!ScatterY_5ED51</c:f>
              <c:numCache>
                <c:formatCode>General</c:formatCode>
                <c:ptCount val="85"/>
                <c:pt idx="0">
                  <c:v>179979000</c:v>
                </c:pt>
                <c:pt idx="1">
                  <c:v>642000000</c:v>
                </c:pt>
                <c:pt idx="2">
                  <c:v>18070000</c:v>
                </c:pt>
                <c:pt idx="3">
                  <c:v>1932000</c:v>
                </c:pt>
                <c:pt idx="4">
                  <c:v>446980000</c:v>
                </c:pt>
                <c:pt idx="5">
                  <c:v>12986000</c:v>
                </c:pt>
                <c:pt idx="6">
                  <c:v>1333000000</c:v>
                </c:pt>
                <c:pt idx="7">
                  <c:v>14482000</c:v>
                </c:pt>
                <c:pt idx="8">
                  <c:v>8990000</c:v>
                </c:pt>
                <c:pt idx="9">
                  <c:v>4884767</c:v>
                </c:pt>
                <c:pt idx="10">
                  <c:v>90572</c:v>
                </c:pt>
                <c:pt idx="11">
                  <c:v>1601525</c:v>
                </c:pt>
                <c:pt idx="12">
                  <c:v>76680000</c:v>
                </c:pt>
                <c:pt idx="13">
                  <c:v>1534918000</c:v>
                </c:pt>
                <c:pt idx="14">
                  <c:v>48150000</c:v>
                </c:pt>
                <c:pt idx="15">
                  <c:v>5535</c:v>
                </c:pt>
                <c:pt idx="16">
                  <c:v>44315000</c:v>
                </c:pt>
                <c:pt idx="17">
                  <c:v>5208000000</c:v>
                </c:pt>
                <c:pt idx="18">
                  <c:v>7541000</c:v>
                </c:pt>
                <c:pt idx="19">
                  <c:v>50010000</c:v>
                </c:pt>
                <c:pt idx="20">
                  <c:v>563000000</c:v>
                </c:pt>
                <c:pt idx="21">
                  <c:v>10520000</c:v>
                </c:pt>
                <c:pt idx="22">
                  <c:v>71363000</c:v>
                </c:pt>
                <c:pt idx="23">
                  <c:v>8173000</c:v>
                </c:pt>
                <c:pt idx="24">
                  <c:v>19732941</c:v>
                </c:pt>
                <c:pt idx="25">
                  <c:v>21619000</c:v>
                </c:pt>
                <c:pt idx="26">
                  <c:v>665000000</c:v>
                </c:pt>
                <c:pt idx="27">
                  <c:v>26381000</c:v>
                </c:pt>
                <c:pt idx="28">
                  <c:v>28979000</c:v>
                </c:pt>
                <c:pt idx="29">
                  <c:v>71557000</c:v>
                </c:pt>
                <c:pt idx="30">
                  <c:v>993338</c:v>
                </c:pt>
                <c:pt idx="31">
                  <c:v>518649</c:v>
                </c:pt>
                <c:pt idx="32">
                  <c:v>129795000</c:v>
                </c:pt>
                <c:pt idx="33">
                  <c:v>1138677</c:v>
                </c:pt>
                <c:pt idx="34">
                  <c:v>58176000</c:v>
                </c:pt>
                <c:pt idx="35">
                  <c:v>103664000</c:v>
                </c:pt>
                <c:pt idx="36">
                  <c:v>2392000</c:v>
                </c:pt>
                <c:pt idx="37">
                  <c:v>5737000</c:v>
                </c:pt>
                <c:pt idx="38">
                  <c:v>18323000</c:v>
                </c:pt>
                <c:pt idx="39">
                  <c:v>2819000000</c:v>
                </c:pt>
                <c:pt idx="40">
                  <c:v>2266700</c:v>
                </c:pt>
                <c:pt idx="41">
                  <c:v>4030000</c:v>
                </c:pt>
                <c:pt idx="42">
                  <c:v>19931000</c:v>
                </c:pt>
                <c:pt idx="43">
                  <c:v>2266000</c:v>
                </c:pt>
                <c:pt idx="44">
                  <c:v>185843000</c:v>
                </c:pt>
                <c:pt idx="45">
                  <c:v>3522000</c:v>
                </c:pt>
                <c:pt idx="46">
                  <c:v>521628000</c:v>
                </c:pt>
                <c:pt idx="47">
                  <c:v>1355000000</c:v>
                </c:pt>
                <c:pt idx="48">
                  <c:v>42372000</c:v>
                </c:pt>
                <c:pt idx="49">
                  <c:v>636000</c:v>
                </c:pt>
                <c:pt idx="50">
                  <c:v>89685000</c:v>
                </c:pt>
                <c:pt idx="51">
                  <c:v>115524000</c:v>
                </c:pt>
                <c:pt idx="52">
                  <c:v>21496000</c:v>
                </c:pt>
                <c:pt idx="53">
                  <c:v>16322000</c:v>
                </c:pt>
                <c:pt idx="54">
                  <c:v>5505000</c:v>
                </c:pt>
                <c:pt idx="55">
                  <c:v>308900000</c:v>
                </c:pt>
                <c:pt idx="56">
                  <c:v>498495000</c:v>
                </c:pt>
                <c:pt idx="57">
                  <c:v>32557000</c:v>
                </c:pt>
                <c:pt idx="58">
                  <c:v>1917614</c:v>
                </c:pt>
                <c:pt idx="59">
                  <c:v>1218572</c:v>
                </c:pt>
                <c:pt idx="60">
                  <c:v>36862000</c:v>
                </c:pt>
                <c:pt idx="61">
                  <c:v>8062000</c:v>
                </c:pt>
                <c:pt idx="62">
                  <c:v>16697000</c:v>
                </c:pt>
                <c:pt idx="63">
                  <c:v>2440000000</c:v>
                </c:pt>
                <c:pt idx="64">
                  <c:v>1050398</c:v>
                </c:pt>
                <c:pt idx="65">
                  <c:v>79000</c:v>
                </c:pt>
                <c:pt idx="66">
                  <c:v>452600</c:v>
                </c:pt>
                <c:pt idx="67">
                  <c:v>43042000</c:v>
                </c:pt>
                <c:pt idx="68">
                  <c:v>41405000</c:v>
                </c:pt>
                <c:pt idx="69">
                  <c:v>43558000</c:v>
                </c:pt>
                <c:pt idx="70">
                  <c:v>123996000</c:v>
                </c:pt>
                <c:pt idx="71">
                  <c:v>34514000</c:v>
                </c:pt>
                <c:pt idx="72">
                  <c:v>14553000</c:v>
                </c:pt>
                <c:pt idx="73">
                  <c:v>2998000</c:v>
                </c:pt>
                <c:pt idx="74">
                  <c:v>1888953</c:v>
                </c:pt>
                <c:pt idx="75">
                  <c:v>2948356</c:v>
                </c:pt>
                <c:pt idx="76">
                  <c:v>4783000</c:v>
                </c:pt>
                <c:pt idx="77">
                  <c:v>331000</c:v>
                </c:pt>
                <c:pt idx="78">
                  <c:v>147375000</c:v>
                </c:pt>
                <c:pt idx="79">
                  <c:v>56425000</c:v>
                </c:pt>
                <c:pt idx="80">
                  <c:v>29622000</c:v>
                </c:pt>
                <c:pt idx="81">
                  <c:v>509000000</c:v>
                </c:pt>
                <c:pt idx="82">
                  <c:v>4408000</c:v>
                </c:pt>
                <c:pt idx="83">
                  <c:v>355392000</c:v>
                </c:pt>
                <c:pt idx="84">
                  <c:v>39474000</c:v>
                </c:pt>
              </c:numCache>
            </c:numRef>
          </c:yVal>
          <c:smooth val="0"/>
        </c:ser>
        <c:dLbls>
          <c:showLegendKey val="0"/>
          <c:showVal val="0"/>
          <c:showCatName val="0"/>
          <c:showSerName val="0"/>
          <c:showPercent val="0"/>
          <c:showBubbleSize val="0"/>
        </c:dLbls>
        <c:axId val="1055963048"/>
        <c:axId val="1055962656"/>
      </c:scatterChart>
      <c:valAx>
        <c:axId val="1055963048"/>
        <c:scaling>
          <c:orientation val="minMax"/>
        </c:scaling>
        <c:delete val="0"/>
        <c:axPos val="b"/>
        <c:title>
          <c:tx>
            <c:rich>
              <a:bodyPr/>
              <a:lstStyle/>
              <a:p>
                <a:pPr>
                  <a:defRPr sz="800" b="0"/>
                </a:pPr>
                <a:r>
                  <a:rPr lang="en-US"/>
                  <a:t>Stockholders' Equity / Data Set #1</a:t>
                </a:r>
              </a:p>
            </c:rich>
          </c:tx>
          <c:overlay val="0"/>
        </c:title>
        <c:numFmt formatCode="General" sourceLinked="0"/>
        <c:majorTickMark val="out"/>
        <c:minorTickMark val="none"/>
        <c:tickLblPos val="nextTo"/>
        <c:txPr>
          <a:bodyPr/>
          <a:lstStyle/>
          <a:p>
            <a:pPr>
              <a:defRPr sz="800" b="0"/>
            </a:pPr>
            <a:endParaRPr lang="en-US"/>
          </a:p>
        </c:txPr>
        <c:crossAx val="1055962656"/>
        <c:crosses val="autoZero"/>
        <c:crossBetween val="midCat"/>
      </c:valAx>
      <c:valAx>
        <c:axId val="1055962656"/>
        <c:scaling>
          <c:orientation val="minMax"/>
        </c:scaling>
        <c:delete val="0"/>
        <c:axPos val="l"/>
        <c:title>
          <c:tx>
            <c:rich>
              <a:bodyPr/>
              <a:lstStyle/>
              <a:p>
                <a:pPr>
                  <a:defRPr sz="800" b="0"/>
                </a:pPr>
                <a:r>
                  <a:rPr lang="en-US"/>
                  <a:t>R&amp;D / Data Set #1</a:t>
                </a:r>
              </a:p>
            </c:rich>
          </c:tx>
          <c:overlay val="0"/>
        </c:title>
        <c:numFmt formatCode="General" sourceLinked="0"/>
        <c:majorTickMark val="out"/>
        <c:minorTickMark val="none"/>
        <c:tickLblPos val="nextTo"/>
        <c:txPr>
          <a:bodyPr/>
          <a:lstStyle/>
          <a:p>
            <a:pPr>
              <a:defRPr sz="800" b="0"/>
            </a:pPr>
            <a:endParaRPr lang="en-US"/>
          </a:p>
        </c:txPr>
        <c:crossAx val="1055963048"/>
        <c:crosses val="autoZero"/>
        <c:crossBetween val="midCat"/>
      </c:valAx>
    </c:plotArea>
    <c:plotVisOnly val="1"/>
    <c:dispBlanksAs val="gap"/>
    <c:showDLblsOverMax val="0"/>
  </c:chart>
  <c:spPr>
    <a:ln w="9525">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Scatterplot of Log(R&amp;D) vs Log(Total Revenue) of Data Set #1</a:t>
            </a:r>
          </a:p>
        </c:rich>
      </c:tx>
      <c:layout/>
      <c:overlay val="0"/>
    </c:title>
    <c:autoTitleDeleted val="0"/>
    <c:plotArea>
      <c:layout/>
      <c:scatterChart>
        <c:scatterStyle val="lineMarker"/>
        <c:varyColors val="0"/>
        <c:ser>
          <c:idx val="0"/>
          <c:order val="0"/>
          <c:spPr>
            <a:ln w="28575">
              <a:noFill/>
            </a:ln>
          </c:spPr>
          <c:marker>
            <c:symbol val="circle"/>
            <c:size val="3"/>
            <c:spPr>
              <a:noFill/>
              <a:ln>
                <a:solidFill>
                  <a:srgbClr val="333399"/>
                </a:solidFill>
                <a:prstDash val="solid"/>
              </a:ln>
            </c:spPr>
          </c:marker>
          <c:xVal>
            <c:numRef>
              <c:f>Scatterplot!ScatterX_AEC29</c:f>
              <c:numCache>
                <c:formatCode>General</c:formatCode>
                <c:ptCount val="85"/>
                <c:pt idx="0">
                  <c:v>20.998605554936294</c:v>
                </c:pt>
                <c:pt idx="1">
                  <c:v>22.223112072750418</c:v>
                </c:pt>
                <c:pt idx="2">
                  <c:v>19.201687691517336</c:v>
                </c:pt>
                <c:pt idx="3">
                  <c:v>16.402371930275269</c:v>
                </c:pt>
                <c:pt idx="4">
                  <c:v>21.423839373734481</c:v>
                </c:pt>
                <c:pt idx="5">
                  <c:v>18.932935346242047</c:v>
                </c:pt>
                <c:pt idx="6">
                  <c:v>24.321591282719496</c:v>
                </c:pt>
                <c:pt idx="7">
                  <c:v>19.126818184550554</c:v>
                </c:pt>
                <c:pt idx="8">
                  <c:v>19.718351520082532</c:v>
                </c:pt>
                <c:pt idx="9">
                  <c:v>18.089162945806731</c:v>
                </c:pt>
                <c:pt idx="10">
                  <c:v>16.352348148799976</c:v>
                </c:pt>
                <c:pt idx="11">
                  <c:v>16.352348148799976</c:v>
                </c:pt>
                <c:pt idx="12">
                  <c:v>19.913011642176084</c:v>
                </c:pt>
                <c:pt idx="13">
                  <c:v>22.225190473752384</c:v>
                </c:pt>
                <c:pt idx="14">
                  <c:v>19.490111359256893</c:v>
                </c:pt>
                <c:pt idx="15">
                  <c:v>15.75683764940819</c:v>
                </c:pt>
                <c:pt idx="16">
                  <c:v>18.978248722270482</c:v>
                </c:pt>
                <c:pt idx="17">
                  <c:v>24.31002950556741</c:v>
                </c:pt>
                <c:pt idx="18">
                  <c:v>17.390661246749868</c:v>
                </c:pt>
                <c:pt idx="19">
                  <c:v>20.18946495841989</c:v>
                </c:pt>
                <c:pt idx="20">
                  <c:v>22.40873843565651</c:v>
                </c:pt>
                <c:pt idx="21">
                  <c:v>19.623280606224537</c:v>
                </c:pt>
                <c:pt idx="22">
                  <c:v>20.156319496041085</c:v>
                </c:pt>
                <c:pt idx="23">
                  <c:v>20.739785630655696</c:v>
                </c:pt>
                <c:pt idx="24">
                  <c:v>18.782549032103905</c:v>
                </c:pt>
                <c:pt idx="25">
                  <c:v>20.181862441966281</c:v>
                </c:pt>
                <c:pt idx="26">
                  <c:v>24.835794069602141</c:v>
                </c:pt>
                <c:pt idx="27">
                  <c:v>18.927064517290852</c:v>
                </c:pt>
                <c:pt idx="28">
                  <c:v>19.768878559805412</c:v>
                </c:pt>
                <c:pt idx="29">
                  <c:v>20.394071253845201</c:v>
                </c:pt>
                <c:pt idx="30">
                  <c:v>17.293881643333457</c:v>
                </c:pt>
                <c:pt idx="31">
                  <c:v>16.218459584464242</c:v>
                </c:pt>
                <c:pt idx="32">
                  <c:v>19.750991882777083</c:v>
                </c:pt>
                <c:pt idx="33">
                  <c:v>16.364118894466571</c:v>
                </c:pt>
                <c:pt idx="34">
                  <c:v>19.631308355844947</c:v>
                </c:pt>
                <c:pt idx="35">
                  <c:v>20.297208660015087</c:v>
                </c:pt>
                <c:pt idx="36">
                  <c:v>18.952255605660802</c:v>
                </c:pt>
                <c:pt idx="37">
                  <c:v>17.944385363083196</c:v>
                </c:pt>
                <c:pt idx="38">
                  <c:v>20.108979743143973</c:v>
                </c:pt>
                <c:pt idx="39">
                  <c:v>25.464294705318117</c:v>
                </c:pt>
                <c:pt idx="40">
                  <c:v>16.261000475388482</c:v>
                </c:pt>
                <c:pt idx="41">
                  <c:v>18.054806472800909</c:v>
                </c:pt>
                <c:pt idx="42">
                  <c:v>19.427002289725028</c:v>
                </c:pt>
                <c:pt idx="43">
                  <c:v>19.03545548782591</c:v>
                </c:pt>
                <c:pt idx="44">
                  <c:v>20.691256975760147</c:v>
                </c:pt>
                <c:pt idx="45">
                  <c:v>18.402730599749365</c:v>
                </c:pt>
                <c:pt idx="46">
                  <c:v>21.221623052160982</c:v>
                </c:pt>
                <c:pt idx="47">
                  <c:v>23.404218870164254</c:v>
                </c:pt>
                <c:pt idx="48">
                  <c:v>19.056934769605746</c:v>
                </c:pt>
                <c:pt idx="49">
                  <c:v>16.885236511426591</c:v>
                </c:pt>
                <c:pt idx="50">
                  <c:v>21.270724019790222</c:v>
                </c:pt>
                <c:pt idx="51">
                  <c:v>20.621561960958793</c:v>
                </c:pt>
                <c:pt idx="52">
                  <c:v>18.066759148924444</c:v>
                </c:pt>
                <c:pt idx="53">
                  <c:v>19.82893471812665</c:v>
                </c:pt>
                <c:pt idx="54">
                  <c:v>20.454643632353172</c:v>
                </c:pt>
                <c:pt idx="55">
                  <c:v>21.101976207745757</c:v>
                </c:pt>
                <c:pt idx="56">
                  <c:v>21.948919797146001</c:v>
                </c:pt>
                <c:pt idx="57">
                  <c:v>19.050723041890436</c:v>
                </c:pt>
                <c:pt idx="58">
                  <c:v>15.612631793863111</c:v>
                </c:pt>
                <c:pt idx="59">
                  <c:v>16.967060792088777</c:v>
                </c:pt>
                <c:pt idx="60">
                  <c:v>20.196244772158114</c:v>
                </c:pt>
                <c:pt idx="61">
                  <c:v>18.34660354055605</c:v>
                </c:pt>
                <c:pt idx="62">
                  <c:v>18.672567230798787</c:v>
                </c:pt>
                <c:pt idx="63">
                  <c:v>23.066608922412623</c:v>
                </c:pt>
                <c:pt idx="64">
                  <c:v>16.469670762831665</c:v>
                </c:pt>
                <c:pt idx="65">
                  <c:v>15.992759159647022</c:v>
                </c:pt>
                <c:pt idx="66">
                  <c:v>15.605451708385544</c:v>
                </c:pt>
                <c:pt idx="67">
                  <c:v>19.122966044423336</c:v>
                </c:pt>
                <c:pt idx="68">
                  <c:v>19.501875558583407</c:v>
                </c:pt>
                <c:pt idx="69">
                  <c:v>19.158610067284204</c:v>
                </c:pt>
                <c:pt idx="70">
                  <c:v>20.503338358521287</c:v>
                </c:pt>
                <c:pt idx="71">
                  <c:v>20.041274201271403</c:v>
                </c:pt>
                <c:pt idx="72">
                  <c:v>18.182550450329831</c:v>
                </c:pt>
                <c:pt idx="73">
                  <c:v>17.785141876012734</c:v>
                </c:pt>
                <c:pt idx="74">
                  <c:v>15.863443114531508</c:v>
                </c:pt>
                <c:pt idx="75">
                  <c:v>16.386284611209181</c:v>
                </c:pt>
                <c:pt idx="76">
                  <c:v>17.669777323831457</c:v>
                </c:pt>
                <c:pt idx="77">
                  <c:v>15.79028578741576</c:v>
                </c:pt>
                <c:pt idx="78">
                  <c:v>21.518093771136652</c:v>
                </c:pt>
                <c:pt idx="79">
                  <c:v>20.508516951620472</c:v>
                </c:pt>
                <c:pt idx="80">
                  <c:v>20.258335715665748</c:v>
                </c:pt>
                <c:pt idx="81">
                  <c:v>22.731882472845967</c:v>
                </c:pt>
                <c:pt idx="82">
                  <c:v>17.951620669418844</c:v>
                </c:pt>
                <c:pt idx="83">
                  <c:v>21.324946640816485</c:v>
                </c:pt>
                <c:pt idx="84">
                  <c:v>19.769234296320064</c:v>
                </c:pt>
              </c:numCache>
            </c:numRef>
          </c:xVal>
          <c:yVal>
            <c:numRef>
              <c:f>Scatterplot!ScatterY_AEC29</c:f>
              <c:numCache>
                <c:formatCode>General</c:formatCode>
                <c:ptCount val="85"/>
                <c:pt idx="0">
                  <c:v>19.008350735381732</c:v>
                </c:pt>
                <c:pt idx="1">
                  <c:v>20.280098861654235</c:v>
                </c:pt>
                <c:pt idx="2">
                  <c:v>16.70976366256841</c:v>
                </c:pt>
                <c:pt idx="3">
                  <c:v>14.4740662937546</c:v>
                </c:pt>
                <c:pt idx="4">
                  <c:v>19.91802440884755</c:v>
                </c:pt>
                <c:pt idx="5">
                  <c:v>16.379382412050568</c:v>
                </c:pt>
                <c:pt idx="6">
                  <c:v>21.010697878142985</c:v>
                </c:pt>
                <c:pt idx="7">
                  <c:v>16.488417056930903</c:v>
                </c:pt>
                <c:pt idx="8">
                  <c:v>16.011623406447804</c:v>
                </c:pt>
                <c:pt idx="9">
                  <c:v>15.401632145289751</c:v>
                </c:pt>
                <c:pt idx="10">
                  <c:v>11.413900393492412</c:v>
                </c:pt>
                <c:pt idx="11">
                  <c:v>14.286466858274792</c:v>
                </c:pt>
                <c:pt idx="12">
                  <c:v>18.155151476141718</c:v>
                </c:pt>
                <c:pt idx="13">
                  <c:v>21.151742796363223</c:v>
                </c:pt>
                <c:pt idx="14">
                  <c:v>17.689831696208408</c:v>
                </c:pt>
                <c:pt idx="15">
                  <c:v>8.6188468451427376</c:v>
                </c:pt>
                <c:pt idx="16">
                  <c:v>17.606833778154634</c:v>
                </c:pt>
                <c:pt idx="17">
                  <c:v>22.37346174185268</c:v>
                </c:pt>
                <c:pt idx="18">
                  <c:v>15.835865357184785</c:v>
                </c:pt>
                <c:pt idx="19">
                  <c:v>17.727733543395086</c:v>
                </c:pt>
                <c:pt idx="20">
                  <c:v>20.148790186103966</c:v>
                </c:pt>
                <c:pt idx="21">
                  <c:v>16.168788765273838</c:v>
                </c:pt>
                <c:pt idx="22">
                  <c:v>18.083290085711102</c:v>
                </c:pt>
                <c:pt idx="23">
                  <c:v>15.916346596498267</c:v>
                </c:pt>
                <c:pt idx="24">
                  <c:v>16.797799929231722</c:v>
                </c:pt>
                <c:pt idx="25">
                  <c:v>16.889083115636602</c:v>
                </c:pt>
                <c:pt idx="26">
                  <c:v>20.315297598620127</c:v>
                </c:pt>
                <c:pt idx="27">
                  <c:v>17.088154612040658</c:v>
                </c:pt>
                <c:pt idx="28">
                  <c:v>17.1820819877052</c:v>
                </c:pt>
                <c:pt idx="29">
                  <c:v>18.086004892864072</c:v>
                </c:pt>
                <c:pt idx="30">
                  <c:v>13.808826267789019</c:v>
                </c:pt>
                <c:pt idx="31">
                  <c:v>13.158982632775594</c:v>
                </c:pt>
                <c:pt idx="32">
                  <c:v>18.681466840691087</c:v>
                </c:pt>
                <c:pt idx="33">
                  <c:v>13.945377620122763</c:v>
                </c:pt>
                <c:pt idx="34">
                  <c:v>17.878983456519286</c:v>
                </c:pt>
                <c:pt idx="35">
                  <c:v>18.456665457671875</c:v>
                </c:pt>
                <c:pt idx="36">
                  <c:v>14.687640394052659</c:v>
                </c:pt>
                <c:pt idx="37">
                  <c:v>15.562446983584008</c:v>
                </c:pt>
                <c:pt idx="38">
                  <c:v>16.723667659262311</c:v>
                </c:pt>
                <c:pt idx="39">
                  <c:v>21.759648049078386</c:v>
                </c:pt>
                <c:pt idx="40">
                  <c:v>14.633835587252449</c:v>
                </c:pt>
                <c:pt idx="41">
                  <c:v>15.209276933922865</c:v>
                </c:pt>
                <c:pt idx="42">
                  <c:v>16.807786866544873</c:v>
                </c:pt>
                <c:pt idx="43">
                  <c:v>14.633526720570089</c:v>
                </c:pt>
                <c:pt idx="44">
                  <c:v>19.040412789214773</c:v>
                </c:pt>
                <c:pt idx="45">
                  <c:v>15.074539568038288</c:v>
                </c:pt>
                <c:pt idx="46">
                  <c:v>20.072465248117538</c:v>
                </c:pt>
                <c:pt idx="47">
                  <c:v>21.027067291278076</c:v>
                </c:pt>
                <c:pt idx="48">
                  <c:v>17.561998324698525</c:v>
                </c:pt>
                <c:pt idx="49">
                  <c:v>13.362953842322259</c:v>
                </c:pt>
                <c:pt idx="50">
                  <c:v>18.311814088965253</c:v>
                </c:pt>
                <c:pt idx="51">
                  <c:v>18.564988858548105</c:v>
                </c:pt>
                <c:pt idx="52">
                  <c:v>16.883377429277463</c:v>
                </c:pt>
                <c:pt idx="53">
                  <c:v>16.608024449011324</c:v>
                </c:pt>
                <c:pt idx="54">
                  <c:v>15.521167328138917</c:v>
                </c:pt>
                <c:pt idx="55">
                  <c:v>19.548528157888811</c:v>
                </c:pt>
                <c:pt idx="56">
                  <c:v>20.027104117225594</c:v>
                </c:pt>
                <c:pt idx="57">
                  <c:v>17.298502957261547</c:v>
                </c:pt>
                <c:pt idx="58">
                  <c:v>14.466592262868318</c:v>
                </c:pt>
                <c:pt idx="59">
                  <c:v>14.013190239345615</c:v>
                </c:pt>
                <c:pt idx="60">
                  <c:v>17.422691768093706</c:v>
                </c:pt>
                <c:pt idx="61">
                  <c:v>15.902672222659248</c:v>
                </c:pt>
                <c:pt idx="62">
                  <c:v>16.630739620531095</c:v>
                </c:pt>
                <c:pt idx="63">
                  <c:v>21.615263876251522</c:v>
                </c:pt>
                <c:pt idx="64">
                  <c:v>13.864679697932353</c:v>
                </c:pt>
                <c:pt idx="65">
                  <c:v>11.277203131449159</c:v>
                </c:pt>
                <c:pt idx="66">
                  <c:v>13.022764012181574</c:v>
                </c:pt>
                <c:pt idx="67">
                  <c:v>17.577686941139667</c:v>
                </c:pt>
                <c:pt idx="68">
                  <c:v>17.538912204449936</c:v>
                </c:pt>
                <c:pt idx="69">
                  <c:v>17.58960394129269</c:v>
                </c:pt>
                <c:pt idx="70">
                  <c:v>18.635759864984493</c:v>
                </c:pt>
                <c:pt idx="71">
                  <c:v>17.35687559678966</c:v>
                </c:pt>
                <c:pt idx="72">
                  <c:v>16.493307715895462</c:v>
                </c:pt>
                <c:pt idx="73">
                  <c:v>14.913455957644681</c:v>
                </c:pt>
                <c:pt idx="74">
                  <c:v>14.451533265284752</c:v>
                </c:pt>
                <c:pt idx="75">
                  <c:v>14.896758284837659</c:v>
                </c:pt>
                <c:pt idx="76">
                  <c:v>15.380578522662434</c:v>
                </c:pt>
                <c:pt idx="77">
                  <c:v>12.7098736543592</c:v>
                </c:pt>
                <c:pt idx="78">
                  <c:v>18.80849091682181</c:v>
                </c:pt>
                <c:pt idx="79">
                  <c:v>17.848422880667872</c:v>
                </c:pt>
                <c:pt idx="80">
                  <c:v>17.204027886469056</c:v>
                </c:pt>
                <c:pt idx="81">
                  <c:v>20.047958574514798</c:v>
                </c:pt>
                <c:pt idx="82">
                  <c:v>15.298931629814888</c:v>
                </c:pt>
                <c:pt idx="83">
                  <c:v>19.688731963583415</c:v>
                </c:pt>
                <c:pt idx="84">
                  <c:v>17.49115278529619</c:v>
                </c:pt>
              </c:numCache>
            </c:numRef>
          </c:yVal>
          <c:smooth val="0"/>
        </c:ser>
        <c:dLbls>
          <c:showLegendKey val="0"/>
          <c:showVal val="0"/>
          <c:showCatName val="0"/>
          <c:showSerName val="0"/>
          <c:showPercent val="0"/>
          <c:showBubbleSize val="0"/>
        </c:dLbls>
        <c:axId val="1055959128"/>
        <c:axId val="1055963832"/>
      </c:scatterChart>
      <c:valAx>
        <c:axId val="1055959128"/>
        <c:scaling>
          <c:orientation val="minMax"/>
        </c:scaling>
        <c:delete val="0"/>
        <c:axPos val="b"/>
        <c:title>
          <c:tx>
            <c:rich>
              <a:bodyPr/>
              <a:lstStyle/>
              <a:p>
                <a:pPr>
                  <a:defRPr sz="800" b="0"/>
                </a:pPr>
                <a:r>
                  <a:rPr lang="en-US"/>
                  <a:t>Log(Total Revenue) / Data Set #1</a:t>
                </a:r>
              </a:p>
            </c:rich>
          </c:tx>
          <c:layout/>
          <c:overlay val="0"/>
        </c:title>
        <c:numFmt formatCode="General" sourceLinked="0"/>
        <c:majorTickMark val="out"/>
        <c:minorTickMark val="none"/>
        <c:tickLblPos val="nextTo"/>
        <c:txPr>
          <a:bodyPr/>
          <a:lstStyle/>
          <a:p>
            <a:pPr>
              <a:defRPr sz="800" b="0"/>
            </a:pPr>
            <a:endParaRPr lang="en-US"/>
          </a:p>
        </c:txPr>
        <c:crossAx val="1055963832"/>
        <c:crosses val="autoZero"/>
        <c:crossBetween val="midCat"/>
      </c:valAx>
      <c:valAx>
        <c:axId val="1055963832"/>
        <c:scaling>
          <c:orientation val="minMax"/>
        </c:scaling>
        <c:delete val="0"/>
        <c:axPos val="l"/>
        <c:title>
          <c:tx>
            <c:rich>
              <a:bodyPr/>
              <a:lstStyle/>
              <a:p>
                <a:pPr>
                  <a:defRPr sz="800" b="0"/>
                </a:pPr>
                <a:r>
                  <a:rPr lang="en-US"/>
                  <a:t>Log(R&amp;D) / Data Set #1</a:t>
                </a:r>
              </a:p>
            </c:rich>
          </c:tx>
          <c:layout/>
          <c:overlay val="0"/>
        </c:title>
        <c:numFmt formatCode="General" sourceLinked="0"/>
        <c:majorTickMark val="out"/>
        <c:minorTickMark val="none"/>
        <c:tickLblPos val="nextTo"/>
        <c:txPr>
          <a:bodyPr/>
          <a:lstStyle/>
          <a:p>
            <a:pPr>
              <a:defRPr sz="800" b="0"/>
            </a:pPr>
            <a:endParaRPr lang="en-US"/>
          </a:p>
        </c:txPr>
        <c:crossAx val="1055959128"/>
        <c:crosses val="autoZero"/>
        <c:crossBetween val="midCat"/>
      </c:valAx>
    </c:plotArea>
    <c:plotVisOnly val="1"/>
    <c:dispBlanksAs val="gap"/>
    <c:showDLblsOverMax val="0"/>
  </c:chart>
  <c:spPr>
    <a:ln w="9525">
      <a:noFill/>
    </a:ln>
  </c:spPr>
  <c:printSettings>
    <c:headerFooter/>
    <c:pageMargins b="0.75" l="0.7" r="0.7" t="0.75" header="0.3" footer="0.3"/>
    <c:pageSetup/>
  </c:printSettings>
</c:chartSpace>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381001</xdr:colOff>
      <xdr:row>1</xdr:row>
      <xdr:rowOff>85725</xdr:rowOff>
    </xdr:from>
    <xdr:to>
      <xdr:col>6</xdr:col>
      <xdr:colOff>381001</xdr:colOff>
      <xdr:row>9</xdr:row>
      <xdr:rowOff>85725</xdr:rowOff>
    </xdr:to>
    <xdr:sp macro="" textlink="">
      <xdr:nvSpPr>
        <xdr:cNvPr id="2" name="TextBox 1"/>
        <xdr:cNvSpPr txBox="1"/>
      </xdr:nvSpPr>
      <xdr:spPr>
        <a:xfrm>
          <a:off x="381001" y="276225"/>
          <a:ext cx="3657600" cy="1524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aseline="0"/>
            <a:t>Mergent Online </a:t>
          </a:r>
        </a:p>
        <a:p>
          <a:endParaRPr lang="en-US" sz="1100" baseline="0"/>
        </a:p>
        <a:p>
          <a:r>
            <a:rPr lang="en-US" sz="1100" baseline="0"/>
            <a:t>This lists publicly traded USA companies from Mergent's database </a:t>
          </a:r>
          <a:r>
            <a:rPr lang="en-US" sz="1100" baseline="0">
              <a:solidFill>
                <a:schemeClr val="dk1"/>
              </a:solidFill>
              <a:latin typeface="+mn-lt"/>
              <a:ea typeface="+mn-ea"/>
              <a:cs typeface="+mn-cs"/>
            </a:rPr>
            <a:t>with NAICS code 334 (Computer and Electronic Product Manufacturing) </a:t>
          </a:r>
          <a:r>
            <a:rPr lang="en-US" sz="1100" baseline="0"/>
            <a:t>that have earnings before taxes in 2009 greater than $10,000 and reported R&amp;D expenses (or a similar line item) in their income statement.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3514725</xdr:colOff>
      <xdr:row>12</xdr:row>
      <xdr:rowOff>19049</xdr:rowOff>
    </xdr:from>
    <xdr:to>
      <xdr:col>3</xdr:col>
      <xdr:colOff>276225</xdr:colOff>
      <xdr:row>18</xdr:row>
      <xdr:rowOff>66674</xdr:rowOff>
    </xdr:to>
    <xdr:sp macro="" textlink="">
      <xdr:nvSpPr>
        <xdr:cNvPr id="2" name="TextBox 1"/>
        <xdr:cNvSpPr txBox="1"/>
      </xdr:nvSpPr>
      <xdr:spPr>
        <a:xfrm>
          <a:off x="3514725" y="2495549"/>
          <a:ext cx="2971800" cy="1190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used StatTools to create log</a:t>
          </a:r>
          <a:r>
            <a:rPr lang="en-US" sz="1100" baseline="0"/>
            <a:t>arithms of R&amp;D and Total Revenue (see the columns way out to the right). However, you have to be careful. Logs are defined for negative values, such as some of the Net Income values.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28576</xdr:colOff>
      <xdr:row>28</xdr:row>
      <xdr:rowOff>1</xdr:rowOff>
    </xdr:from>
    <xdr:to>
      <xdr:col>6</xdr:col>
      <xdr:colOff>447676</xdr:colOff>
      <xdr:row>33</xdr:row>
      <xdr:rowOff>114301</xdr:rowOff>
    </xdr:to>
    <xdr:sp macro="" textlink="">
      <xdr:nvSpPr>
        <xdr:cNvPr id="2" name="TextBox 1"/>
        <xdr:cNvSpPr txBox="1"/>
      </xdr:nvSpPr>
      <xdr:spPr>
        <a:xfrm>
          <a:off x="2847976" y="5191126"/>
          <a:ext cx="2971800" cy="10668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It's probably not too surprising that all of the "size" variables (those in green) are highly correlated</a:t>
          </a:r>
          <a:r>
            <a:rPr lang="en-US" sz="1100" baseline="0"/>
            <a:t> with R&amp;D expenses (and with each other). R&amp;D expenses seem to be totally unrelated to any of the accounting ratios.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25</xdr:row>
      <xdr:rowOff>0</xdr:rowOff>
    </xdr:from>
    <xdr:to>
      <xdr:col>5</xdr:col>
      <xdr:colOff>600075</xdr:colOff>
      <xdr:row>41</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44</xdr:row>
      <xdr:rowOff>0</xdr:rowOff>
    </xdr:from>
    <xdr:to>
      <xdr:col>5</xdr:col>
      <xdr:colOff>600075</xdr:colOff>
      <xdr:row>60</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63</xdr:row>
      <xdr:rowOff>0</xdr:rowOff>
    </xdr:from>
    <xdr:to>
      <xdr:col>5</xdr:col>
      <xdr:colOff>600075</xdr:colOff>
      <xdr:row>79</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82</xdr:row>
      <xdr:rowOff>0</xdr:rowOff>
    </xdr:from>
    <xdr:to>
      <xdr:col>5</xdr:col>
      <xdr:colOff>600075</xdr:colOff>
      <xdr:row>98</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101</xdr:row>
      <xdr:rowOff>0</xdr:rowOff>
    </xdr:from>
    <xdr:to>
      <xdr:col>5</xdr:col>
      <xdr:colOff>600075</xdr:colOff>
      <xdr:row>117</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819150</xdr:colOff>
      <xdr:row>11</xdr:row>
      <xdr:rowOff>76199</xdr:rowOff>
    </xdr:from>
    <xdr:to>
      <xdr:col>9</xdr:col>
      <xdr:colOff>133350</xdr:colOff>
      <xdr:row>22</xdr:row>
      <xdr:rowOff>180974</xdr:rowOff>
    </xdr:to>
    <xdr:sp macro="" textlink="">
      <xdr:nvSpPr>
        <xdr:cNvPr id="8" name="TextBox 7"/>
        <xdr:cNvSpPr txBox="1"/>
      </xdr:nvSpPr>
      <xdr:spPr>
        <a:xfrm>
          <a:off x="5057775" y="2028824"/>
          <a:ext cx="2705100" cy="22002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 is difficult to see the real</a:t>
          </a:r>
          <a:r>
            <a:rPr lang="en-US" sz="1100" baseline="0"/>
            <a:t> shapes of these scatters because of the obvious outliers (the big companies). One possibility (explored in general in Chapter 10) is to take logs of these "size" variables. This spreads out the small companies and compresses the larger ones. One example is shown to the right. Now the relationship is clear -- and the outliers are no longer outliers.</a:t>
          </a:r>
          <a:endParaRPr lang="en-US" sz="1100"/>
        </a:p>
      </xdr:txBody>
    </xdr:sp>
    <xdr:clientData/>
  </xdr:twoCellAnchor>
  <xdr:twoCellAnchor editAs="oneCell">
    <xdr:from>
      <xdr:col>10</xdr:col>
      <xdr:colOff>12700</xdr:colOff>
      <xdr:row>6</xdr:row>
      <xdr:rowOff>0</xdr:rowOff>
    </xdr:from>
    <xdr:to>
      <xdr:col>15</xdr:col>
      <xdr:colOff>600075</xdr:colOff>
      <xdr:row>22</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91"/>
  <sheetViews>
    <sheetView tabSelected="1" zoomScaleNormal="100" workbookViewId="0"/>
  </sheetViews>
  <sheetFormatPr defaultRowHeight="15" x14ac:dyDescent="0.25"/>
  <cols>
    <col min="1" max="1" width="60.28515625" customWidth="1"/>
    <col min="2" max="2" width="10.7109375" style="28" customWidth="1"/>
    <col min="3" max="3" width="22.140625" style="1" customWidth="1"/>
    <col min="4" max="4" width="22.140625" customWidth="1"/>
    <col min="5" max="6" width="14.140625" customWidth="1"/>
    <col min="7" max="7" width="13.85546875" customWidth="1"/>
    <col min="8" max="8" width="16.140625" customWidth="1"/>
    <col min="9" max="9" width="14.140625" customWidth="1"/>
    <col min="10" max="10" width="16.140625" customWidth="1"/>
    <col min="11" max="13" width="14.140625" customWidth="1"/>
    <col min="16" max="16" width="12.28515625" customWidth="1"/>
    <col min="18" max="18" width="10.28515625" customWidth="1"/>
    <col min="21" max="21" width="12" customWidth="1"/>
    <col min="22" max="22" width="12" style="1" customWidth="1"/>
    <col min="23" max="23" width="18.42578125" style="1" bestFit="1" customWidth="1"/>
  </cols>
  <sheetData>
    <row r="1" spans="1:23" s="4" customFormat="1" x14ac:dyDescent="0.25">
      <c r="A1" s="2" t="s">
        <v>109</v>
      </c>
      <c r="B1" s="26"/>
      <c r="C1" s="2" t="s">
        <v>22</v>
      </c>
      <c r="N1" s="2" t="s">
        <v>10</v>
      </c>
      <c r="S1" s="2" t="s">
        <v>16</v>
      </c>
    </row>
    <row r="3" spans="1:23" s="5" customFormat="1" ht="30" customHeight="1" x14ac:dyDescent="0.25">
      <c r="A3" s="5" t="s">
        <v>20</v>
      </c>
      <c r="B3" s="27" t="s">
        <v>21</v>
      </c>
      <c r="C3" s="6" t="s">
        <v>107</v>
      </c>
      <c r="D3" s="6" t="s">
        <v>0</v>
      </c>
      <c r="E3" s="6" t="s">
        <v>1</v>
      </c>
      <c r="F3" s="6" t="s">
        <v>2</v>
      </c>
      <c r="G3" s="6" t="s">
        <v>3</v>
      </c>
      <c r="H3" s="6" t="s">
        <v>4</v>
      </c>
      <c r="I3" s="6" t="s">
        <v>5</v>
      </c>
      <c r="J3" s="6" t="s">
        <v>6</v>
      </c>
      <c r="K3" s="6" t="s">
        <v>7</v>
      </c>
      <c r="L3" s="6" t="s">
        <v>8</v>
      </c>
      <c r="M3" s="6" t="s">
        <v>9</v>
      </c>
      <c r="N3" s="6" t="s">
        <v>11</v>
      </c>
      <c r="O3" s="6" t="s">
        <v>12</v>
      </c>
      <c r="P3" s="6" t="s">
        <v>13</v>
      </c>
      <c r="Q3" s="6" t="s">
        <v>14</v>
      </c>
      <c r="R3" s="6" t="s">
        <v>15</v>
      </c>
      <c r="S3" s="6" t="s">
        <v>17</v>
      </c>
      <c r="T3" s="6" t="s">
        <v>18</v>
      </c>
      <c r="U3" s="6" t="s">
        <v>19</v>
      </c>
      <c r="V3" s="1" t="s">
        <v>272</v>
      </c>
      <c r="W3" s="1" t="s">
        <v>278</v>
      </c>
    </row>
    <row r="4" spans="1:23" x14ac:dyDescent="0.25">
      <c r="A4" s="1" t="s">
        <v>23</v>
      </c>
      <c r="B4" s="28">
        <v>39962</v>
      </c>
      <c r="C4" s="3">
        <v>179979000</v>
      </c>
      <c r="D4" s="3">
        <v>1316978000</v>
      </c>
      <c r="E4" s="3">
        <v>178492000</v>
      </c>
      <c r="F4" s="3">
        <v>100692000</v>
      </c>
      <c r="G4" s="3">
        <v>114725000</v>
      </c>
      <c r="H4" s="3">
        <v>1815357000</v>
      </c>
      <c r="I4" s="3">
        <v>944913000</v>
      </c>
      <c r="J4" s="3">
        <v>703182000</v>
      </c>
      <c r="K4" s="3">
        <v>510453000</v>
      </c>
      <c r="L4" s="3">
        <v>152000000</v>
      </c>
      <c r="M4" s="3">
        <v>1112175000</v>
      </c>
      <c r="N4" s="1">
        <v>6.41</v>
      </c>
      <c r="O4" s="1">
        <v>10.92</v>
      </c>
      <c r="P4" s="1">
        <v>7.74</v>
      </c>
      <c r="Q4" s="1">
        <v>13.55</v>
      </c>
      <c r="R4" s="1">
        <v>22.13</v>
      </c>
      <c r="S4" s="1">
        <v>1.37</v>
      </c>
      <c r="T4" s="1">
        <v>1.85</v>
      </c>
      <c r="U4" s="1">
        <v>23.93</v>
      </c>
      <c r="V4">
        <f>IF(_xll.StatIsBlank(C4),"",_xll.StatLn(C4))</f>
        <v>19.008350735381732</v>
      </c>
      <c r="W4">
        <f>IF(_xll.StatIsBlank(D4),"",_xll.StatLn(D4))</f>
        <v>20.998605554936294</v>
      </c>
    </row>
    <row r="5" spans="1:23" x14ac:dyDescent="0.25">
      <c r="A5" s="1" t="s">
        <v>26</v>
      </c>
      <c r="B5" s="28">
        <v>40117</v>
      </c>
      <c r="C5" s="3">
        <v>642000000</v>
      </c>
      <c r="D5" s="3">
        <v>4481000000</v>
      </c>
      <c r="E5" s="3">
        <v>178000000</v>
      </c>
      <c r="F5" s="3">
        <v>47000000</v>
      </c>
      <c r="G5" s="3">
        <v>-31000000</v>
      </c>
      <c r="H5" s="3">
        <v>7612000000</v>
      </c>
      <c r="I5" s="3">
        <v>3961000000</v>
      </c>
      <c r="J5" s="3">
        <v>5106000000</v>
      </c>
      <c r="K5" s="3">
        <v>1123000000</v>
      </c>
      <c r="L5" s="3">
        <v>2904000000</v>
      </c>
      <c r="M5" s="3">
        <v>2506000000</v>
      </c>
      <c r="N5" s="1">
        <v>-0.41</v>
      </c>
      <c r="O5" s="1">
        <v>-1.22</v>
      </c>
      <c r="P5" s="1">
        <v>0.93</v>
      </c>
      <c r="Q5" s="1">
        <v>3.97</v>
      </c>
      <c r="R5" s="1">
        <v>542.86</v>
      </c>
      <c r="S5" s="1">
        <v>2.75</v>
      </c>
      <c r="T5" s="1">
        <v>3.53</v>
      </c>
      <c r="U5" s="1">
        <v>37.28</v>
      </c>
      <c r="V5">
        <f>IF(_xll.StatIsBlank(C5),"",_xll.StatLn(C5))</f>
        <v>20.280098861654235</v>
      </c>
      <c r="W5">
        <f>IF(_xll.StatIsBlank(D5),"",_xll.StatLn(D5))</f>
        <v>22.223112072750418</v>
      </c>
    </row>
    <row r="6" spans="1:23" x14ac:dyDescent="0.25">
      <c r="A6" s="1" t="s">
        <v>27</v>
      </c>
      <c r="B6" s="28">
        <v>39903</v>
      </c>
      <c r="C6" s="3">
        <v>18070000</v>
      </c>
      <c r="D6" s="3">
        <v>218367000</v>
      </c>
      <c r="E6" s="3">
        <v>47754000</v>
      </c>
      <c r="F6" s="3">
        <v>42024000</v>
      </c>
      <c r="G6" s="3">
        <v>28353000</v>
      </c>
      <c r="H6" s="3">
        <v>268287000</v>
      </c>
      <c r="I6" s="3">
        <v>242116000</v>
      </c>
      <c r="J6" s="3">
        <v>86221000</v>
      </c>
      <c r="K6" s="3">
        <v>73096000</v>
      </c>
      <c r="L6" s="3">
        <v>8377000</v>
      </c>
      <c r="M6" s="3">
        <v>182066000</v>
      </c>
      <c r="N6" s="1">
        <v>11.26</v>
      </c>
      <c r="O6" s="1">
        <v>16.29</v>
      </c>
      <c r="P6" s="1">
        <v>22.82</v>
      </c>
      <c r="Q6" s="1">
        <v>21.87</v>
      </c>
      <c r="R6" s="1">
        <v>35.119999999999997</v>
      </c>
      <c r="S6" s="1">
        <v>1.95</v>
      </c>
      <c r="T6" s="1">
        <v>3.31</v>
      </c>
      <c r="U6" s="1">
        <v>63</v>
      </c>
      <c r="V6">
        <f>IF(_xll.StatIsBlank(C6),"",_xll.StatLn(C6))</f>
        <v>16.70976366256841</v>
      </c>
      <c r="W6">
        <f>IF(_xll.StatIsBlank(D6),"",_xll.StatLn(D6))</f>
        <v>19.201687691517336</v>
      </c>
    </row>
    <row r="7" spans="1:23" x14ac:dyDescent="0.25">
      <c r="A7" s="1" t="s">
        <v>24</v>
      </c>
      <c r="B7" s="28">
        <v>39903</v>
      </c>
      <c r="C7" s="3">
        <v>1932000</v>
      </c>
      <c r="D7" s="3">
        <v>13288000</v>
      </c>
      <c r="E7" s="3">
        <v>2148000</v>
      </c>
      <c r="F7" s="3">
        <v>882000</v>
      </c>
      <c r="G7" s="3">
        <v>959000</v>
      </c>
      <c r="H7" s="3">
        <v>16431000</v>
      </c>
      <c r="I7" s="3">
        <v>8301000</v>
      </c>
      <c r="J7" s="3">
        <v>2903000</v>
      </c>
      <c r="K7" s="3">
        <v>2309000</v>
      </c>
      <c r="L7" s="3">
        <v>594000</v>
      </c>
      <c r="M7" s="3">
        <v>13528000</v>
      </c>
      <c r="N7">
        <v>5.77</v>
      </c>
      <c r="O7">
        <v>7.41</v>
      </c>
      <c r="P7">
        <v>6.06</v>
      </c>
      <c r="Q7">
        <v>16.16</v>
      </c>
      <c r="R7">
        <v>28.91</v>
      </c>
      <c r="S7">
        <v>1.71</v>
      </c>
      <c r="T7">
        <v>3.6</v>
      </c>
      <c r="U7">
        <v>36.47</v>
      </c>
      <c r="V7">
        <f>IF(_xll.StatIsBlank(C7),"",_xll.StatLn(C7))</f>
        <v>14.4740662937546</v>
      </c>
      <c r="W7">
        <f>IF(_xll.StatIsBlank(D7),"",_xll.StatLn(D7))</f>
        <v>16.402371930275269</v>
      </c>
    </row>
    <row r="8" spans="1:23" x14ac:dyDescent="0.25">
      <c r="A8" s="1" t="s">
        <v>28</v>
      </c>
      <c r="B8" s="28">
        <v>40117</v>
      </c>
      <c r="C8" s="3">
        <v>446980000</v>
      </c>
      <c r="D8" s="3">
        <v>2014908000</v>
      </c>
      <c r="E8" s="3">
        <v>425294000</v>
      </c>
      <c r="F8" s="3">
        <v>284817000</v>
      </c>
      <c r="G8" s="3">
        <v>247772000</v>
      </c>
      <c r="H8" s="3">
        <v>3404294000</v>
      </c>
      <c r="I8" s="3">
        <v>2490636000</v>
      </c>
      <c r="J8" s="3">
        <v>875145000</v>
      </c>
      <c r="K8" s="3">
        <v>386613000</v>
      </c>
      <c r="L8" s="3">
        <v>379626000</v>
      </c>
      <c r="M8" s="3">
        <v>2529149000</v>
      </c>
      <c r="N8">
        <v>7.65</v>
      </c>
      <c r="O8">
        <v>10.039999999999999</v>
      </c>
      <c r="P8">
        <v>10.72</v>
      </c>
      <c r="Q8">
        <v>21.11</v>
      </c>
      <c r="R8">
        <v>16.82</v>
      </c>
      <c r="S8">
        <v>2.4300000000000002</v>
      </c>
      <c r="T8">
        <v>6.44</v>
      </c>
      <c r="U8">
        <v>61.8</v>
      </c>
      <c r="V8">
        <f>IF(_xll.StatIsBlank(C8),"",_xll.StatLn(C8))</f>
        <v>19.91802440884755</v>
      </c>
      <c r="W8">
        <f>IF(_xll.StatIsBlank(D8),"",_xll.StatLn(D8))</f>
        <v>21.423839373734481</v>
      </c>
    </row>
    <row r="9" spans="1:23" x14ac:dyDescent="0.25">
      <c r="A9" s="1" t="s">
        <v>29</v>
      </c>
      <c r="B9" s="28">
        <v>39994</v>
      </c>
      <c r="C9" s="3">
        <v>12986000</v>
      </c>
      <c r="D9" s="3">
        <v>166905000</v>
      </c>
      <c r="E9" s="3">
        <v>22427000</v>
      </c>
      <c r="F9" s="3">
        <v>14027000</v>
      </c>
      <c r="G9" s="3">
        <v>9859000</v>
      </c>
      <c r="H9" s="3">
        <v>237055000</v>
      </c>
      <c r="I9" s="3">
        <v>127031000</v>
      </c>
      <c r="J9" s="3">
        <v>76110000</v>
      </c>
      <c r="K9" s="3">
        <v>24819000</v>
      </c>
      <c r="L9" s="3">
        <v>40000000</v>
      </c>
      <c r="M9" s="3">
        <v>160945000</v>
      </c>
      <c r="N9">
        <v>4.82</v>
      </c>
      <c r="O9">
        <v>6.32</v>
      </c>
      <c r="P9">
        <v>7.76</v>
      </c>
      <c r="Q9">
        <v>13.44</v>
      </c>
      <c r="R9">
        <v>27.68</v>
      </c>
      <c r="S9">
        <v>3</v>
      </c>
      <c r="T9">
        <v>5.12</v>
      </c>
      <c r="U9">
        <v>43.12</v>
      </c>
      <c r="V9">
        <f>IF(_xll.StatIsBlank(C9),"",_xll.StatLn(C9))</f>
        <v>16.379382412050568</v>
      </c>
      <c r="W9">
        <f>IF(_xll.StatIsBlank(D9),"",_xll.StatLn(D9))</f>
        <v>18.932935346242047</v>
      </c>
    </row>
    <row r="10" spans="1:23" x14ac:dyDescent="0.25">
      <c r="A10" s="1" t="s">
        <v>30</v>
      </c>
      <c r="B10" s="28">
        <v>40082</v>
      </c>
      <c r="C10" s="3">
        <v>1333000000</v>
      </c>
      <c r="D10" s="3">
        <v>36537000000</v>
      </c>
      <c r="E10" s="3">
        <v>8280000000</v>
      </c>
      <c r="F10" s="3">
        <v>7658000000</v>
      </c>
      <c r="G10" s="3">
        <v>5704000000</v>
      </c>
      <c r="H10" s="3">
        <v>53851000000</v>
      </c>
      <c r="I10" s="3">
        <v>36265000000</v>
      </c>
      <c r="J10" s="3">
        <v>26019000000</v>
      </c>
      <c r="K10" s="3">
        <v>19282000000</v>
      </c>
      <c r="L10" s="3"/>
      <c r="M10" s="3">
        <v>27832000000</v>
      </c>
      <c r="N10">
        <v>12.24</v>
      </c>
      <c r="O10">
        <v>23.41</v>
      </c>
      <c r="P10">
        <v>31.43</v>
      </c>
      <c r="Q10">
        <v>22.66</v>
      </c>
      <c r="R10">
        <v>28.56</v>
      </c>
      <c r="S10">
        <v>0.54</v>
      </c>
      <c r="T10">
        <v>1.88</v>
      </c>
      <c r="U10">
        <v>31.54</v>
      </c>
      <c r="V10">
        <f>IF(_xll.StatIsBlank(C10),"",_xll.StatLn(C10))</f>
        <v>21.010697878142985</v>
      </c>
      <c r="W10">
        <f>IF(_xll.StatIsBlank(D10),"",_xll.StatLn(D10))</f>
        <v>24.321591282719496</v>
      </c>
    </row>
    <row r="11" spans="1:23" x14ac:dyDescent="0.25">
      <c r="A11" s="1" t="s">
        <v>31</v>
      </c>
      <c r="B11" s="28">
        <v>40117</v>
      </c>
      <c r="C11" s="3">
        <v>14482000</v>
      </c>
      <c r="D11" s="3">
        <v>202615000</v>
      </c>
      <c r="E11" s="3">
        <v>29231000</v>
      </c>
      <c r="F11" s="3">
        <v>22870000</v>
      </c>
      <c r="G11" s="3">
        <v>14529000</v>
      </c>
      <c r="H11" s="3">
        <v>171000000</v>
      </c>
      <c r="I11" s="3">
        <v>113514000</v>
      </c>
      <c r="J11" s="3">
        <v>31975000</v>
      </c>
      <c r="K11" s="3">
        <v>26329000</v>
      </c>
      <c r="L11" s="3">
        <v>2500000</v>
      </c>
      <c r="M11" s="3">
        <v>139025000</v>
      </c>
      <c r="N11">
        <v>8.83</v>
      </c>
      <c r="O11">
        <v>11.02</v>
      </c>
      <c r="P11">
        <v>16.93</v>
      </c>
      <c r="Q11">
        <v>14.43</v>
      </c>
      <c r="R11">
        <v>37.08</v>
      </c>
      <c r="S11">
        <v>1.94</v>
      </c>
      <c r="T11">
        <v>4.3099999999999996</v>
      </c>
      <c r="U11">
        <v>50.99</v>
      </c>
      <c r="V11">
        <f>IF(_xll.StatIsBlank(C11),"",_xll.StatLn(C11))</f>
        <v>16.488417056930903</v>
      </c>
      <c r="W11">
        <f>IF(_xll.StatIsBlank(D11),"",_xll.StatLn(D11))</f>
        <v>19.126818184550554</v>
      </c>
    </row>
    <row r="12" spans="1:23" x14ac:dyDescent="0.25">
      <c r="A12" s="1" t="s">
        <v>25</v>
      </c>
      <c r="B12" s="28">
        <v>40086</v>
      </c>
      <c r="C12" s="3">
        <v>8990000</v>
      </c>
      <c r="D12" s="3">
        <v>366076000</v>
      </c>
      <c r="E12" s="3">
        <v>43356000</v>
      </c>
      <c r="F12" s="3">
        <v>36195000</v>
      </c>
      <c r="G12" s="3">
        <v>23691000</v>
      </c>
      <c r="H12" s="3">
        <v>380025000</v>
      </c>
      <c r="I12" s="3">
        <v>174717000</v>
      </c>
      <c r="J12" s="3">
        <v>60447000</v>
      </c>
      <c r="K12" s="3">
        <v>56856000</v>
      </c>
      <c r="L12" s="3">
        <v>13000</v>
      </c>
      <c r="M12" s="3">
        <v>319578000</v>
      </c>
      <c r="N12">
        <v>6.58</v>
      </c>
      <c r="O12">
        <v>7.74</v>
      </c>
      <c r="P12">
        <v>11.83</v>
      </c>
      <c r="Q12">
        <v>11.84</v>
      </c>
      <c r="R12">
        <v>34.520000000000003</v>
      </c>
      <c r="S12">
        <v>2.81</v>
      </c>
      <c r="T12">
        <v>3.07</v>
      </c>
      <c r="U12">
        <v>31.01</v>
      </c>
      <c r="V12">
        <f>IF(_xll.StatIsBlank(C12),"",_xll.StatLn(C12))</f>
        <v>16.011623406447804</v>
      </c>
      <c r="W12">
        <f>IF(_xll.StatIsBlank(D12),"",_xll.StatLn(D12))</f>
        <v>19.718351520082532</v>
      </c>
    </row>
    <row r="13" spans="1:23" x14ac:dyDescent="0.25">
      <c r="A13" s="1" t="s">
        <v>32</v>
      </c>
      <c r="B13" s="28">
        <v>39844</v>
      </c>
      <c r="C13" s="3">
        <v>4884767</v>
      </c>
      <c r="D13" s="3">
        <v>71783338</v>
      </c>
      <c r="E13" s="3">
        <v>5983142</v>
      </c>
      <c r="F13" s="3">
        <v>4626231</v>
      </c>
      <c r="G13" s="3">
        <v>2963987</v>
      </c>
      <c r="H13" s="3">
        <v>62155250</v>
      </c>
      <c r="I13" s="3">
        <v>48022662</v>
      </c>
      <c r="J13" s="3">
        <v>10683765</v>
      </c>
      <c r="K13" s="3">
        <v>7903653</v>
      </c>
      <c r="L13" s="3"/>
      <c r="M13" s="3">
        <v>51471485</v>
      </c>
      <c r="N13">
        <v>4.7699999999999996</v>
      </c>
      <c r="O13">
        <v>5.86</v>
      </c>
      <c r="P13">
        <v>9.15</v>
      </c>
      <c r="Q13">
        <v>8.34</v>
      </c>
      <c r="R13">
        <v>35.25</v>
      </c>
      <c r="S13">
        <v>2.56</v>
      </c>
      <c r="T13">
        <v>6.08</v>
      </c>
      <c r="U13">
        <v>64.55</v>
      </c>
      <c r="V13">
        <f>IF(_xll.StatIsBlank(C13),"",_xll.StatLn(C13))</f>
        <v>15.401632145289751</v>
      </c>
      <c r="W13">
        <f>IF(_xll.StatIsBlank(D13),"",_xll.StatLn(D13))</f>
        <v>18.089162945806731</v>
      </c>
    </row>
    <row r="14" spans="1:23" x14ac:dyDescent="0.25">
      <c r="A14" s="1" t="s">
        <v>33</v>
      </c>
      <c r="B14" s="28">
        <v>39933</v>
      </c>
      <c r="C14" s="3">
        <v>90572</v>
      </c>
      <c r="D14" s="3">
        <v>12639636</v>
      </c>
      <c r="E14" s="3">
        <v>1739038</v>
      </c>
      <c r="F14" s="3">
        <v>1337369</v>
      </c>
      <c r="G14" s="3">
        <v>943937</v>
      </c>
      <c r="H14" s="3">
        <v>7402641</v>
      </c>
      <c r="I14" s="3">
        <v>5611956</v>
      </c>
      <c r="J14" s="3">
        <v>1743702</v>
      </c>
      <c r="K14" s="3">
        <v>1414519</v>
      </c>
      <c r="L14" s="3"/>
      <c r="M14" s="3">
        <v>5658939</v>
      </c>
      <c r="Q14">
        <v>12.56</v>
      </c>
      <c r="R14">
        <v>23.88</v>
      </c>
      <c r="S14">
        <v>8.15</v>
      </c>
      <c r="T14">
        <v>14.32</v>
      </c>
      <c r="U14">
        <v>78.510000000000005</v>
      </c>
      <c r="V14">
        <f>IF(_xll.StatIsBlank(C14),"",_xll.StatLn(C14))</f>
        <v>11.413900393492412</v>
      </c>
      <c r="W14">
        <f>IF(_xll.StatIsBlank(D14),"",_xll.StatLn(D14))</f>
        <v>16.352348148799976</v>
      </c>
    </row>
    <row r="15" spans="1:23" x14ac:dyDescent="0.25">
      <c r="A15" s="1" t="s">
        <v>34</v>
      </c>
      <c r="B15" s="28">
        <v>39994</v>
      </c>
      <c r="C15" s="3">
        <v>1601525</v>
      </c>
      <c r="D15" s="3">
        <v>12639636</v>
      </c>
      <c r="E15" s="3">
        <v>1739038</v>
      </c>
      <c r="F15" s="3">
        <v>1337369</v>
      </c>
      <c r="G15" s="3">
        <v>943937</v>
      </c>
      <c r="H15" s="3">
        <v>7402641</v>
      </c>
      <c r="I15" s="3">
        <v>5611956</v>
      </c>
      <c r="J15" s="3">
        <v>1743702</v>
      </c>
      <c r="K15" s="3">
        <v>1414519</v>
      </c>
      <c r="L15" s="3"/>
      <c r="M15" s="3">
        <v>5658939</v>
      </c>
      <c r="N15">
        <v>13.74</v>
      </c>
      <c r="O15">
        <v>18.22</v>
      </c>
      <c r="P15">
        <v>25.36</v>
      </c>
      <c r="Q15">
        <v>13.76</v>
      </c>
      <c r="R15">
        <v>30.42</v>
      </c>
      <c r="S15">
        <v>2.38</v>
      </c>
      <c r="T15">
        <v>3.97</v>
      </c>
      <c r="U15">
        <v>56.7</v>
      </c>
      <c r="V15">
        <f>IF(_xll.StatIsBlank(C15),"",_xll.StatLn(C15))</f>
        <v>14.286466858274792</v>
      </c>
      <c r="W15">
        <f>IF(_xll.StatIsBlank(D15),"",_xll.StatLn(D15))</f>
        <v>16.352348148799976</v>
      </c>
    </row>
    <row r="16" spans="1:23" x14ac:dyDescent="0.25">
      <c r="A16" s="1" t="s">
        <v>35</v>
      </c>
      <c r="B16" s="28">
        <v>39933</v>
      </c>
      <c r="C16" s="3">
        <v>76680000</v>
      </c>
      <c r="D16" s="3">
        <v>444745000</v>
      </c>
      <c r="E16" s="3">
        <v>17273000</v>
      </c>
      <c r="F16" s="3">
        <v>2568000</v>
      </c>
      <c r="G16" s="3">
        <v>-8508000</v>
      </c>
      <c r="H16" s="3">
        <v>562293000</v>
      </c>
      <c r="I16" s="3">
        <v>218078000</v>
      </c>
      <c r="J16" s="3">
        <v>280684000</v>
      </c>
      <c r="K16" s="3">
        <v>151434000</v>
      </c>
      <c r="L16" s="3">
        <v>76347000</v>
      </c>
      <c r="M16" s="3">
        <v>281609000</v>
      </c>
      <c r="N16">
        <v>-1.79</v>
      </c>
      <c r="O16">
        <v>-3.19</v>
      </c>
      <c r="P16">
        <v>0.84</v>
      </c>
      <c r="Q16">
        <v>3.88</v>
      </c>
      <c r="R16">
        <v>1465.65</v>
      </c>
      <c r="S16">
        <v>1.26</v>
      </c>
      <c r="T16">
        <v>1.44</v>
      </c>
      <c r="U16">
        <v>11.85</v>
      </c>
      <c r="V16">
        <f>IF(_xll.StatIsBlank(C16),"",_xll.StatLn(C16))</f>
        <v>18.155151476141718</v>
      </c>
      <c r="W16">
        <f>IF(_xll.StatIsBlank(D16),"",_xll.StatLn(D16))</f>
        <v>19.913011642176084</v>
      </c>
    </row>
    <row r="17" spans="1:23" x14ac:dyDescent="0.25">
      <c r="A17" s="1" t="s">
        <v>36</v>
      </c>
      <c r="B17" s="28">
        <v>40178</v>
      </c>
      <c r="C17" s="3">
        <v>1534918000</v>
      </c>
      <c r="D17" s="3">
        <v>4490323000</v>
      </c>
      <c r="E17" s="3">
        <v>89034000</v>
      </c>
      <c r="F17" s="3">
        <v>56072000</v>
      </c>
      <c r="G17" s="3">
        <v>65261000</v>
      </c>
      <c r="H17" s="3">
        <v>5127242000</v>
      </c>
      <c r="I17" s="3">
        <v>2914332000</v>
      </c>
      <c r="J17" s="3">
        <v>1235396000</v>
      </c>
      <c r="K17" s="3">
        <v>1148350000</v>
      </c>
      <c r="L17" s="3"/>
      <c r="M17" s="3">
        <v>3891846000</v>
      </c>
      <c r="N17">
        <v>1.37</v>
      </c>
      <c r="O17">
        <v>1.74</v>
      </c>
      <c r="P17">
        <v>1.5</v>
      </c>
      <c r="Q17">
        <v>1.98</v>
      </c>
      <c r="R17">
        <v>9.6</v>
      </c>
      <c r="S17">
        <v>1.66</v>
      </c>
      <c r="T17">
        <v>2.54</v>
      </c>
      <c r="U17">
        <v>34.44</v>
      </c>
      <c r="V17">
        <f>IF(_xll.StatIsBlank(C17),"",_xll.StatLn(C17))</f>
        <v>21.151742796363223</v>
      </c>
      <c r="W17">
        <f>IF(_xll.StatIsBlank(D17),"",_xll.StatLn(D17))</f>
        <v>22.225190473752384</v>
      </c>
    </row>
    <row r="18" spans="1:23" x14ac:dyDescent="0.25">
      <c r="A18" s="1" t="s">
        <v>38</v>
      </c>
      <c r="B18" s="28">
        <v>40086</v>
      </c>
      <c r="C18" s="3">
        <v>48150000</v>
      </c>
      <c r="D18" s="3">
        <v>291372000</v>
      </c>
      <c r="E18" s="3">
        <v>38240000</v>
      </c>
      <c r="F18" s="3">
        <v>16023000</v>
      </c>
      <c r="G18" s="3">
        <v>11187000</v>
      </c>
      <c r="H18" s="3">
        <v>515144000</v>
      </c>
      <c r="I18" s="3">
        <v>316852000</v>
      </c>
      <c r="J18" s="3">
        <v>44415000</v>
      </c>
      <c r="K18" s="3">
        <v>39536000</v>
      </c>
      <c r="L18" s="3">
        <v>1308000</v>
      </c>
      <c r="M18" s="3">
        <v>470729000</v>
      </c>
      <c r="N18">
        <v>2.25</v>
      </c>
      <c r="O18">
        <v>2.4700000000000002</v>
      </c>
      <c r="P18">
        <v>3.52</v>
      </c>
      <c r="Q18">
        <v>13.12</v>
      </c>
      <c r="R18">
        <v>32.700000000000003</v>
      </c>
      <c r="S18">
        <v>6.41</v>
      </c>
      <c r="T18">
        <v>8.01</v>
      </c>
      <c r="U18">
        <v>53.83</v>
      </c>
      <c r="V18">
        <f>IF(_xll.StatIsBlank(C18),"",_xll.StatLn(C18))</f>
        <v>17.689831696208408</v>
      </c>
      <c r="W18">
        <f>IF(_xll.StatIsBlank(D18),"",_xll.StatLn(D18))</f>
        <v>19.490111359256893</v>
      </c>
    </row>
    <row r="19" spans="1:23" x14ac:dyDescent="0.25">
      <c r="A19" s="1" t="s">
        <v>39</v>
      </c>
      <c r="B19" s="28">
        <v>40086</v>
      </c>
      <c r="C19" s="3">
        <v>5535</v>
      </c>
      <c r="D19" s="3">
        <v>6967992</v>
      </c>
      <c r="E19" s="3">
        <v>299540</v>
      </c>
      <c r="F19" s="3">
        <v>266244</v>
      </c>
      <c r="G19" s="3">
        <v>155010</v>
      </c>
      <c r="H19" s="3">
        <v>1743482</v>
      </c>
      <c r="I19" s="3">
        <v>1654119</v>
      </c>
      <c r="J19" s="3">
        <v>1655196</v>
      </c>
      <c r="K19" s="3">
        <v>1264676</v>
      </c>
      <c r="L19" s="3">
        <v>390520</v>
      </c>
      <c r="M19" s="3">
        <v>88286</v>
      </c>
      <c r="N19">
        <v>7.79</v>
      </c>
      <c r="P19">
        <v>61.15</v>
      </c>
      <c r="Q19">
        <v>4.3</v>
      </c>
      <c r="R19">
        <v>2.17</v>
      </c>
      <c r="S19">
        <v>1.03</v>
      </c>
      <c r="T19">
        <v>1.31</v>
      </c>
      <c r="U19">
        <v>22.34</v>
      </c>
      <c r="V19">
        <f>IF(_xll.StatIsBlank(C19),"",_xll.StatLn(C19))</f>
        <v>8.6188468451427376</v>
      </c>
      <c r="W19">
        <f>IF(_xll.StatIsBlank(D19),"",_xll.StatLn(D19))</f>
        <v>15.75683764940819</v>
      </c>
    </row>
    <row r="20" spans="1:23" x14ac:dyDescent="0.25">
      <c r="A20" s="1" t="s">
        <v>40</v>
      </c>
      <c r="B20" s="28">
        <v>39900</v>
      </c>
      <c r="C20" s="3">
        <v>44315000</v>
      </c>
      <c r="D20" s="3">
        <v>174642000</v>
      </c>
      <c r="E20" s="3">
        <v>10553000</v>
      </c>
      <c r="F20" s="3">
        <v>3216000</v>
      </c>
      <c r="G20" s="3">
        <v>3475000</v>
      </c>
      <c r="H20" s="3">
        <v>209496000</v>
      </c>
      <c r="I20" s="3">
        <v>155148000</v>
      </c>
      <c r="J20" s="3">
        <v>36568000</v>
      </c>
      <c r="K20" s="3">
        <v>28240000</v>
      </c>
      <c r="L20" s="3">
        <v>2077000</v>
      </c>
      <c r="M20" s="3">
        <v>172928000</v>
      </c>
      <c r="N20">
        <v>1.37</v>
      </c>
      <c r="O20">
        <v>1.68</v>
      </c>
      <c r="P20">
        <v>1.54</v>
      </c>
      <c r="Q20">
        <v>6.04</v>
      </c>
      <c r="R20">
        <v>43.56</v>
      </c>
      <c r="S20">
        <v>1.59</v>
      </c>
      <c r="T20">
        <v>5.49</v>
      </c>
      <c r="U20">
        <v>60.58</v>
      </c>
      <c r="V20">
        <f>IF(_xll.StatIsBlank(C20),"",_xll.StatLn(C20))</f>
        <v>17.606833778154634</v>
      </c>
      <c r="W20">
        <f>IF(_xll.StatIsBlank(D20),"",_xll.StatLn(D20))</f>
        <v>18.978248722270482</v>
      </c>
    </row>
    <row r="21" spans="1:23" x14ac:dyDescent="0.25">
      <c r="A21" s="1" t="s">
        <v>41</v>
      </c>
      <c r="B21" s="28">
        <v>40019</v>
      </c>
      <c r="C21" s="3">
        <v>5208000000</v>
      </c>
      <c r="D21" s="3">
        <v>36117000000</v>
      </c>
      <c r="E21" s="3">
        <v>7727000000</v>
      </c>
      <c r="F21" s="3">
        <v>7322000000</v>
      </c>
      <c r="G21" s="3">
        <v>6134000000</v>
      </c>
      <c r="H21" s="3">
        <v>68128000000</v>
      </c>
      <c r="I21" s="3">
        <v>44177000000</v>
      </c>
      <c r="J21" s="3">
        <v>29481000000</v>
      </c>
      <c r="K21" s="3">
        <v>13655000000</v>
      </c>
      <c r="L21" s="3">
        <v>10295000000</v>
      </c>
      <c r="M21" s="3">
        <v>38647000000</v>
      </c>
      <c r="N21">
        <v>9.6999999999999993</v>
      </c>
      <c r="O21">
        <v>16.850000000000001</v>
      </c>
      <c r="P21">
        <v>16.28</v>
      </c>
      <c r="Q21">
        <v>21.39</v>
      </c>
      <c r="R21">
        <v>20.27</v>
      </c>
      <c r="S21">
        <v>0.65</v>
      </c>
      <c r="T21">
        <v>3.24</v>
      </c>
      <c r="U21">
        <v>44.8</v>
      </c>
      <c r="V21">
        <f>IF(_xll.StatIsBlank(C21),"",_xll.StatLn(C21))</f>
        <v>22.37346174185268</v>
      </c>
      <c r="W21">
        <f>IF(_xll.StatIsBlank(D21),"",_xll.StatLn(D21))</f>
        <v>24.31002950556741</v>
      </c>
    </row>
    <row r="22" spans="1:23" x14ac:dyDescent="0.25">
      <c r="A22" s="1" t="s">
        <v>42</v>
      </c>
      <c r="B22" s="28">
        <v>39994</v>
      </c>
      <c r="C22" s="3">
        <v>7541000</v>
      </c>
      <c r="D22" s="3">
        <v>35700000</v>
      </c>
      <c r="E22" s="3">
        <v>3615000</v>
      </c>
      <c r="F22" s="3">
        <v>2776000</v>
      </c>
      <c r="G22" s="3">
        <v>2227000</v>
      </c>
      <c r="H22" s="3">
        <v>40853000</v>
      </c>
      <c r="I22" s="3">
        <v>28315000</v>
      </c>
      <c r="J22" s="3">
        <v>12367000</v>
      </c>
      <c r="K22" s="3">
        <v>10634000</v>
      </c>
      <c r="L22" s="3"/>
      <c r="M22" s="3">
        <v>28486000</v>
      </c>
      <c r="N22">
        <v>5.23</v>
      </c>
      <c r="O22" s="1">
        <v>7.35</v>
      </c>
      <c r="P22">
        <v>9.16</v>
      </c>
      <c r="Q22">
        <v>10.130000000000001</v>
      </c>
      <c r="R22">
        <v>30.88</v>
      </c>
      <c r="S22">
        <v>1.39</v>
      </c>
      <c r="T22">
        <v>2.66</v>
      </c>
      <c r="U22">
        <v>43.28</v>
      </c>
      <c r="V22">
        <f>IF(_xll.StatIsBlank(C22),"",_xll.StatLn(C22))</f>
        <v>15.835865357184785</v>
      </c>
      <c r="W22">
        <f>IF(_xll.StatIsBlank(D22),"",_xll.StatLn(D22))</f>
        <v>17.390661246749868</v>
      </c>
    </row>
    <row r="23" spans="1:23" x14ac:dyDescent="0.25">
      <c r="A23" s="1" t="s">
        <v>43</v>
      </c>
      <c r="B23" s="28">
        <v>40025</v>
      </c>
      <c r="C23" s="3">
        <v>50010000</v>
      </c>
      <c r="D23" s="3">
        <v>586372000</v>
      </c>
      <c r="E23" s="3">
        <v>97022000</v>
      </c>
      <c r="F23" s="3">
        <v>76927000</v>
      </c>
      <c r="G23" s="3">
        <v>49558000</v>
      </c>
      <c r="H23" s="3">
        <v>938671000</v>
      </c>
      <c r="I23" s="3">
        <v>689051000</v>
      </c>
      <c r="J23" s="3">
        <v>309542000</v>
      </c>
      <c r="K23" s="3">
        <v>92526000</v>
      </c>
      <c r="L23" s="3">
        <v>200000000</v>
      </c>
      <c r="M23" s="3">
        <v>629129000</v>
      </c>
      <c r="N23">
        <v>6.23</v>
      </c>
      <c r="O23">
        <v>9.25</v>
      </c>
      <c r="P23">
        <v>11.17</v>
      </c>
      <c r="Q23">
        <v>16.55</v>
      </c>
      <c r="R23">
        <v>35.22</v>
      </c>
      <c r="S23">
        <v>6.11</v>
      </c>
      <c r="T23">
        <v>7.45</v>
      </c>
      <c r="U23">
        <v>63.55</v>
      </c>
      <c r="V23">
        <f>IF(_xll.StatIsBlank(C23),"",_xll.StatLn(C23))</f>
        <v>17.727733543395086</v>
      </c>
      <c r="W23">
        <f>IF(_xll.StatIsBlank(D23),"",_xll.StatLn(D23))</f>
        <v>20.18946495841989</v>
      </c>
    </row>
    <row r="24" spans="1:23" x14ac:dyDescent="0.25">
      <c r="A24" s="1" t="s">
        <v>44</v>
      </c>
      <c r="B24" s="28">
        <v>40178</v>
      </c>
      <c r="C24" s="3">
        <v>563000000</v>
      </c>
      <c r="D24" s="3">
        <v>5395000000</v>
      </c>
      <c r="E24" s="3">
        <v>1354000000</v>
      </c>
      <c r="F24" s="3">
        <v>391000000</v>
      </c>
      <c r="G24" s="3">
        <v>2008000000</v>
      </c>
      <c r="H24" s="3">
        <v>21295000000</v>
      </c>
      <c r="I24" s="3">
        <v>5521000000</v>
      </c>
      <c r="J24" s="3">
        <v>5752000000</v>
      </c>
      <c r="K24" s="3">
        <v>1539000000</v>
      </c>
      <c r="L24" s="3">
        <v>1930000000</v>
      </c>
      <c r="M24" s="3">
        <v>15543000000</v>
      </c>
      <c r="N24">
        <v>9.9</v>
      </c>
      <c r="O24">
        <v>13.85</v>
      </c>
      <c r="P24">
        <v>2.4</v>
      </c>
      <c r="Q24">
        <v>25.1</v>
      </c>
      <c r="R24">
        <v>-14.83</v>
      </c>
      <c r="S24">
        <v>2.14</v>
      </c>
      <c r="T24">
        <v>3.59</v>
      </c>
      <c r="U24">
        <v>18.7</v>
      </c>
      <c r="V24">
        <f>IF(_xll.StatIsBlank(C24),"",_xll.StatLn(C24))</f>
        <v>20.148790186103966</v>
      </c>
      <c r="W24">
        <f>IF(_xll.StatIsBlank(D24),"",_xll.StatLn(D24))</f>
        <v>22.40873843565651</v>
      </c>
    </row>
    <row r="25" spans="1:23" x14ac:dyDescent="0.25">
      <c r="A25" s="1" t="s">
        <v>37</v>
      </c>
      <c r="B25" s="28">
        <v>40088</v>
      </c>
      <c r="C25" s="3">
        <v>10520000</v>
      </c>
      <c r="D25" s="3">
        <v>332876000</v>
      </c>
      <c r="E25" s="3">
        <v>51021000</v>
      </c>
      <c r="F25" s="3">
        <v>39979000</v>
      </c>
      <c r="G25" s="3">
        <v>23466000</v>
      </c>
      <c r="H25" s="3">
        <v>458254000</v>
      </c>
      <c r="I25" s="3">
        <v>155206000</v>
      </c>
      <c r="J25" s="3">
        <v>284701000</v>
      </c>
      <c r="K25" s="3">
        <v>62826000</v>
      </c>
      <c r="L25" s="3">
        <v>194922000</v>
      </c>
      <c r="M25" s="3">
        <v>173553000</v>
      </c>
      <c r="N25">
        <v>5.09</v>
      </c>
      <c r="O25">
        <v>14.83</v>
      </c>
      <c r="P25">
        <v>10.86</v>
      </c>
      <c r="Q25">
        <v>15.33</v>
      </c>
      <c r="R25">
        <v>-0.94</v>
      </c>
      <c r="S25">
        <v>1.1299999999999999</v>
      </c>
      <c r="T25">
        <v>2.4700000000000002</v>
      </c>
      <c r="U25">
        <v>20.16</v>
      </c>
      <c r="V25">
        <f>IF(_xll.StatIsBlank(C25),"",_xll.StatLn(C25))</f>
        <v>16.168788765273838</v>
      </c>
      <c r="W25">
        <f>IF(_xll.StatIsBlank(D25),"",_xll.StatLn(D25))</f>
        <v>19.623280606224537</v>
      </c>
    </row>
    <row r="26" spans="1:23" x14ac:dyDescent="0.25">
      <c r="A26" s="1" t="s">
        <v>45</v>
      </c>
      <c r="B26" s="28">
        <v>39992</v>
      </c>
      <c r="C26" s="3">
        <v>71363000</v>
      </c>
      <c r="D26" s="3">
        <v>567255000</v>
      </c>
      <c r="E26" s="3">
        <v>123819000</v>
      </c>
      <c r="F26" s="3">
        <v>30590000</v>
      </c>
      <c r="G26" s="3">
        <v>30325000</v>
      </c>
      <c r="H26" s="3">
        <v>1404567000</v>
      </c>
      <c r="I26" s="3">
        <v>629436000</v>
      </c>
      <c r="J26" s="3">
        <v>179819000</v>
      </c>
      <c r="K26" s="3">
        <v>128681000</v>
      </c>
      <c r="L26" s="3"/>
      <c r="M26" s="3">
        <v>1224748000</v>
      </c>
      <c r="N26">
        <v>2.2400000000000002</v>
      </c>
      <c r="O26">
        <v>2.57</v>
      </c>
      <c r="P26">
        <v>2.59</v>
      </c>
      <c r="Q26">
        <v>21.83</v>
      </c>
      <c r="R26">
        <v>22.73</v>
      </c>
      <c r="S26">
        <v>4.05</v>
      </c>
      <c r="T26">
        <v>4.8899999999999997</v>
      </c>
      <c r="U26">
        <v>35.65</v>
      </c>
      <c r="V26">
        <f>IF(_xll.StatIsBlank(C26),"",_xll.StatLn(C26))</f>
        <v>18.083290085711102</v>
      </c>
      <c r="W26">
        <f>IF(_xll.StatIsBlank(D26),"",_xll.StatLn(D26))</f>
        <v>20.156319496041085</v>
      </c>
    </row>
    <row r="27" spans="1:23" x14ac:dyDescent="0.25">
      <c r="A27" s="1" t="s">
        <v>46</v>
      </c>
      <c r="B27" s="28">
        <v>40086</v>
      </c>
      <c r="C27" s="3">
        <v>8173000</v>
      </c>
      <c r="D27" s="3">
        <v>1016657000</v>
      </c>
      <c r="E27" s="3">
        <v>101207000</v>
      </c>
      <c r="F27" s="3">
        <v>84708000</v>
      </c>
      <c r="G27" s="3">
        <v>55686000</v>
      </c>
      <c r="H27" s="3">
        <v>756315000</v>
      </c>
      <c r="I27" s="3">
        <v>584858000</v>
      </c>
      <c r="J27" s="3">
        <v>335470000</v>
      </c>
      <c r="K27" s="3">
        <v>269665000</v>
      </c>
      <c r="L27" s="3">
        <v>20570000</v>
      </c>
      <c r="M27" s="3">
        <v>420845000</v>
      </c>
      <c r="N27">
        <v>7.97</v>
      </c>
      <c r="O27">
        <v>13.75</v>
      </c>
      <c r="P27">
        <v>19.55</v>
      </c>
      <c r="Q27">
        <v>9.9499999999999993</v>
      </c>
      <c r="R27">
        <v>34.67</v>
      </c>
      <c r="S27">
        <v>1.76</v>
      </c>
      <c r="T27">
        <v>2.17</v>
      </c>
      <c r="U27">
        <v>41.67</v>
      </c>
      <c r="V27">
        <f>IF(_xll.StatIsBlank(C27),"",_xll.StatLn(C27))</f>
        <v>15.916346596498267</v>
      </c>
      <c r="W27">
        <f>IF(_xll.StatIsBlank(D27),"",_xll.StatLn(D27))</f>
        <v>20.739785630655696</v>
      </c>
    </row>
    <row r="28" spans="1:23" x14ac:dyDescent="0.25">
      <c r="A28" s="1" t="s">
        <v>47</v>
      </c>
      <c r="B28" s="28">
        <v>39927</v>
      </c>
      <c r="C28" s="3">
        <v>19732941</v>
      </c>
      <c r="D28" s="3">
        <v>143600979</v>
      </c>
      <c r="E28" s="3">
        <v>31789041</v>
      </c>
      <c r="F28" s="3">
        <v>18989708</v>
      </c>
      <c r="G28" s="3">
        <v>26720620</v>
      </c>
      <c r="H28" s="3">
        <v>112043628</v>
      </c>
      <c r="I28" s="3">
        <v>104533902</v>
      </c>
      <c r="J28" s="3">
        <v>87631784</v>
      </c>
      <c r="K28" s="3">
        <v>17645240</v>
      </c>
      <c r="L28" s="3">
        <v>62339000</v>
      </c>
      <c r="M28" s="3">
        <v>24411844</v>
      </c>
      <c r="N28">
        <v>21.58</v>
      </c>
      <c r="O28">
        <v>583.21</v>
      </c>
      <c r="P28">
        <v>19.38</v>
      </c>
      <c r="Q28">
        <v>22.14</v>
      </c>
      <c r="R28">
        <v>2.66</v>
      </c>
      <c r="S28">
        <v>5.01</v>
      </c>
      <c r="T28">
        <v>5.92</v>
      </c>
      <c r="U28">
        <v>77.55</v>
      </c>
      <c r="V28">
        <f>IF(_xll.StatIsBlank(C28),"",_xll.StatLn(C28))</f>
        <v>16.797799929231722</v>
      </c>
      <c r="W28">
        <f>IF(_xll.StatIsBlank(D28),"",_xll.StatLn(D28))</f>
        <v>18.782549032103905</v>
      </c>
    </row>
    <row r="29" spans="1:23" x14ac:dyDescent="0.25">
      <c r="A29" s="1" t="s">
        <v>48</v>
      </c>
      <c r="B29" s="28">
        <v>39935</v>
      </c>
      <c r="C29" s="3">
        <v>21619000</v>
      </c>
      <c r="D29" s="3">
        <v>581931000</v>
      </c>
      <c r="E29" s="3">
        <v>66364000</v>
      </c>
      <c r="F29" s="3">
        <v>42617000</v>
      </c>
      <c r="G29" s="3">
        <v>26428000</v>
      </c>
      <c r="H29" s="3">
        <v>324876000</v>
      </c>
      <c r="I29" s="3">
        <v>206973000</v>
      </c>
      <c r="J29" s="3">
        <v>112965000</v>
      </c>
      <c r="K29" s="3">
        <v>102430000</v>
      </c>
      <c r="L29" s="3">
        <v>23000</v>
      </c>
      <c r="M29" s="3">
        <v>211911000</v>
      </c>
      <c r="N29">
        <v>8.4</v>
      </c>
      <c r="O29">
        <v>13.16</v>
      </c>
      <c r="P29">
        <v>21.15</v>
      </c>
      <c r="Q29">
        <v>11.4</v>
      </c>
      <c r="R29">
        <v>34.33</v>
      </c>
      <c r="S29">
        <v>1.3</v>
      </c>
      <c r="T29">
        <v>2.02</v>
      </c>
      <c r="U29">
        <v>32.18</v>
      </c>
      <c r="V29">
        <f>IF(_xll.StatIsBlank(C29),"",_xll.StatLn(C29))</f>
        <v>16.889083115636602</v>
      </c>
      <c r="W29">
        <f>IF(_xll.StatIsBlank(D29),"",_xll.StatLn(D29))</f>
        <v>20.181862441966281</v>
      </c>
    </row>
    <row r="30" spans="1:23" x14ac:dyDescent="0.25">
      <c r="A30" s="1" t="s">
        <v>49</v>
      </c>
      <c r="B30" s="28">
        <v>39843</v>
      </c>
      <c r="C30" s="3">
        <v>665000000</v>
      </c>
      <c r="D30" s="3">
        <v>61101000000</v>
      </c>
      <c r="E30" s="3">
        <v>4186000000</v>
      </c>
      <c r="F30" s="3">
        <v>3190000000</v>
      </c>
      <c r="G30" s="3">
        <v>2478000000</v>
      </c>
      <c r="H30" s="3">
        <v>26500000000</v>
      </c>
      <c r="I30" s="3">
        <v>20151000000</v>
      </c>
      <c r="J30" s="3">
        <v>22229000000</v>
      </c>
      <c r="K30" s="3">
        <v>14859000000</v>
      </c>
      <c r="L30" s="3">
        <v>1898000000</v>
      </c>
      <c r="M30" s="3">
        <v>4271000000</v>
      </c>
      <c r="N30">
        <v>9.19</v>
      </c>
      <c r="O30">
        <v>61.35</v>
      </c>
      <c r="P30">
        <v>59.8</v>
      </c>
      <c r="Q30">
        <v>6.85</v>
      </c>
      <c r="R30">
        <v>25.45</v>
      </c>
      <c r="S30">
        <v>1</v>
      </c>
      <c r="T30">
        <v>1.36</v>
      </c>
      <c r="U30">
        <v>19.97</v>
      </c>
      <c r="V30">
        <f>IF(_xll.StatIsBlank(C30),"",_xll.StatLn(C30))</f>
        <v>20.315297598620127</v>
      </c>
      <c r="W30">
        <f>IF(_xll.StatIsBlank(D30),"",_xll.StatLn(D30))</f>
        <v>24.835794069602141</v>
      </c>
    </row>
    <row r="31" spans="1:23" x14ac:dyDescent="0.25">
      <c r="A31" s="1" t="s">
        <v>50</v>
      </c>
      <c r="B31" s="28">
        <v>40086</v>
      </c>
      <c r="C31" s="3">
        <v>26381000</v>
      </c>
      <c r="D31" s="3">
        <v>165928000</v>
      </c>
      <c r="E31" s="3">
        <v>9907000</v>
      </c>
      <c r="F31" s="3">
        <v>3070000</v>
      </c>
      <c r="G31" s="3">
        <v>4083000</v>
      </c>
      <c r="H31" s="3">
        <v>258948000</v>
      </c>
      <c r="I31" s="3">
        <v>122655000</v>
      </c>
      <c r="J31" s="3">
        <v>29362000</v>
      </c>
      <c r="K31" s="3">
        <v>16534000</v>
      </c>
      <c r="L31" s="3"/>
      <c r="M31" s="3">
        <v>229586000</v>
      </c>
      <c r="N31">
        <v>1.54</v>
      </c>
      <c r="O31">
        <v>1.77</v>
      </c>
      <c r="P31">
        <v>1.33</v>
      </c>
      <c r="Q31">
        <v>5.97</v>
      </c>
      <c r="R31">
        <v>4.6500000000000004</v>
      </c>
      <c r="S31">
        <v>4.08</v>
      </c>
      <c r="T31">
        <v>7.42</v>
      </c>
      <c r="U31">
        <v>40.98</v>
      </c>
      <c r="V31">
        <f>IF(_xll.StatIsBlank(C31),"",_xll.StatLn(C31))</f>
        <v>17.088154612040658</v>
      </c>
      <c r="W31">
        <f>IF(_xll.StatIsBlank(D31),"",_xll.StatLn(D31))</f>
        <v>18.927064517290852</v>
      </c>
    </row>
    <row r="32" spans="1:23" x14ac:dyDescent="0.25">
      <c r="A32" s="1" t="s">
        <v>51</v>
      </c>
      <c r="B32" s="28">
        <v>39994</v>
      </c>
      <c r="C32" s="3">
        <v>28979000</v>
      </c>
      <c r="D32" s="3">
        <v>385048000</v>
      </c>
      <c r="E32" s="3">
        <v>91957000</v>
      </c>
      <c r="F32" s="3">
        <v>84247000</v>
      </c>
      <c r="G32" s="3">
        <v>55455000</v>
      </c>
      <c r="H32" s="3">
        <v>329984000</v>
      </c>
      <c r="I32" s="3">
        <v>206222000</v>
      </c>
      <c r="J32" s="3">
        <v>107570000</v>
      </c>
      <c r="K32" s="3">
        <v>77999000</v>
      </c>
      <c r="L32" s="3"/>
      <c r="M32" s="3">
        <v>222414000</v>
      </c>
      <c r="N32">
        <v>16.79</v>
      </c>
      <c r="O32">
        <v>26.46</v>
      </c>
      <c r="P32">
        <v>38.200000000000003</v>
      </c>
      <c r="Q32">
        <v>23.88</v>
      </c>
      <c r="R32">
        <v>33.409999999999997</v>
      </c>
      <c r="S32">
        <v>1.8</v>
      </c>
      <c r="T32">
        <v>2.64</v>
      </c>
      <c r="U32">
        <v>38.86</v>
      </c>
      <c r="V32">
        <f>IF(_xll.StatIsBlank(C32),"",_xll.StatLn(C32))</f>
        <v>17.1820819877052</v>
      </c>
      <c r="W32">
        <f>IF(_xll.StatIsBlank(D32),"",_xll.StatLn(D32))</f>
        <v>19.768878559805412</v>
      </c>
    </row>
    <row r="33" spans="1:23" x14ac:dyDescent="0.25">
      <c r="A33" s="1" t="s">
        <v>52</v>
      </c>
      <c r="B33" s="28">
        <v>40081</v>
      </c>
      <c r="C33" s="3">
        <v>71557000</v>
      </c>
      <c r="D33" s="3">
        <v>719503000</v>
      </c>
      <c r="E33" s="3">
        <v>374589000</v>
      </c>
      <c r="F33" s="3">
        <v>363666000</v>
      </c>
      <c r="G33" s="3">
        <v>242991000</v>
      </c>
      <c r="H33" s="3">
        <v>1581315000</v>
      </c>
      <c r="I33" s="3">
        <v>900838000</v>
      </c>
      <c r="J33" s="3">
        <v>240207000</v>
      </c>
      <c r="K33" s="3">
        <v>156584000</v>
      </c>
      <c r="L33" s="3">
        <v>5825000</v>
      </c>
      <c r="M33" s="3">
        <v>1341108000</v>
      </c>
      <c r="N33">
        <v>16.7</v>
      </c>
      <c r="O33">
        <v>20.39</v>
      </c>
      <c r="P33">
        <v>30.3</v>
      </c>
      <c r="Q33">
        <v>52.06</v>
      </c>
      <c r="R33">
        <v>34.21</v>
      </c>
      <c r="S33">
        <v>3.03</v>
      </c>
      <c r="T33">
        <v>5.75</v>
      </c>
      <c r="U33">
        <v>47.07</v>
      </c>
      <c r="V33">
        <f>IF(_xll.StatIsBlank(C33),"",_xll.StatLn(C33))</f>
        <v>18.086004892864072</v>
      </c>
      <c r="W33">
        <f>IF(_xll.StatIsBlank(D33),"",_xll.StatLn(D33))</f>
        <v>20.394071253845201</v>
      </c>
    </row>
    <row r="34" spans="1:23" x14ac:dyDescent="0.25">
      <c r="A34" s="1" t="s">
        <v>53</v>
      </c>
      <c r="B34" s="28">
        <v>39994</v>
      </c>
      <c r="C34" s="3">
        <v>993338</v>
      </c>
      <c r="D34" s="3">
        <v>32406891</v>
      </c>
      <c r="E34" s="3">
        <v>820321</v>
      </c>
      <c r="F34" s="3">
        <v>707405</v>
      </c>
      <c r="G34" s="3">
        <v>103324</v>
      </c>
      <c r="H34" s="3">
        <v>17087289</v>
      </c>
      <c r="I34" s="3">
        <v>12003068</v>
      </c>
      <c r="J34" s="3">
        <v>10667540</v>
      </c>
      <c r="K34" s="3">
        <v>7785881</v>
      </c>
      <c r="L34" s="3">
        <v>2881659</v>
      </c>
      <c r="M34" s="3">
        <v>6419749</v>
      </c>
      <c r="N34">
        <v>0.57999999999999996</v>
      </c>
      <c r="O34" s="1">
        <v>1.63</v>
      </c>
      <c r="P34" s="1">
        <v>4.7699999999999996</v>
      </c>
      <c r="Q34">
        <v>2.5299999999999998</v>
      </c>
      <c r="R34">
        <v>44.23</v>
      </c>
      <c r="S34">
        <v>0.64</v>
      </c>
      <c r="T34">
        <v>1.54</v>
      </c>
      <c r="U34">
        <v>24.68</v>
      </c>
      <c r="V34">
        <f>IF(_xll.StatIsBlank(C34),"",_xll.StatLn(C34))</f>
        <v>13.808826267789019</v>
      </c>
      <c r="W34">
        <f>IF(_xll.StatIsBlank(D34),"",_xll.StatLn(D34))</f>
        <v>17.293881643333457</v>
      </c>
    </row>
    <row r="35" spans="1:23" x14ac:dyDescent="0.25">
      <c r="A35" s="1" t="s">
        <v>106</v>
      </c>
      <c r="B35" s="28">
        <v>39903</v>
      </c>
      <c r="C35" s="3">
        <v>518649</v>
      </c>
      <c r="D35" s="3">
        <v>11055732</v>
      </c>
      <c r="E35" s="3">
        <v>3536377</v>
      </c>
      <c r="F35" s="3">
        <v>3699943</v>
      </c>
      <c r="G35" s="3">
        <v>2933986</v>
      </c>
      <c r="H35" s="3">
        <v>4477670</v>
      </c>
      <c r="I35" s="3">
        <v>4451032</v>
      </c>
      <c r="J35" s="3">
        <v>1197807</v>
      </c>
      <c r="K35" s="3">
        <v>1173807</v>
      </c>
      <c r="L35" s="3"/>
      <c r="M35" s="3">
        <v>3279863</v>
      </c>
      <c r="N35">
        <v>109.91</v>
      </c>
      <c r="O35">
        <v>372.68</v>
      </c>
      <c r="P35">
        <v>234.95</v>
      </c>
      <c r="Q35">
        <v>31.99</v>
      </c>
      <c r="R35">
        <v>12.56</v>
      </c>
      <c r="S35">
        <v>3.33</v>
      </c>
      <c r="T35">
        <v>3.79</v>
      </c>
      <c r="U35">
        <v>73.19</v>
      </c>
      <c r="V35">
        <f>IF(_xll.StatIsBlank(C35),"",_xll.StatLn(C35))</f>
        <v>13.158982632775594</v>
      </c>
      <c r="W35">
        <f>IF(_xll.StatIsBlank(D35),"",_xll.StatLn(D35))</f>
        <v>16.218459584464242</v>
      </c>
    </row>
    <row r="36" spans="1:23" x14ac:dyDescent="0.25">
      <c r="A36" s="1" t="s">
        <v>54</v>
      </c>
      <c r="B36" s="28">
        <v>39992</v>
      </c>
      <c r="C36" s="3">
        <v>129795000</v>
      </c>
      <c r="D36" s="3">
        <v>378222000</v>
      </c>
      <c r="E36" s="3">
        <v>25530000</v>
      </c>
      <c r="F36" s="3">
        <v>1277000</v>
      </c>
      <c r="G36" s="3">
        <v>7544000</v>
      </c>
      <c r="H36" s="3">
        <v>658918000</v>
      </c>
      <c r="I36" s="3">
        <v>406553000</v>
      </c>
      <c r="J36" s="3">
        <v>89474000</v>
      </c>
      <c r="K36" s="3">
        <v>52240000</v>
      </c>
      <c r="L36" s="3"/>
      <c r="M36" s="3">
        <v>569444000</v>
      </c>
      <c r="N36">
        <v>1.1100000000000001</v>
      </c>
      <c r="O36">
        <v>1.32</v>
      </c>
      <c r="P36">
        <v>0.22</v>
      </c>
      <c r="Q36">
        <v>6.75</v>
      </c>
      <c r="R36">
        <v>-34.57</v>
      </c>
      <c r="S36">
        <v>6.62</v>
      </c>
      <c r="T36">
        <v>7.78</v>
      </c>
      <c r="U36">
        <v>53.77</v>
      </c>
      <c r="V36">
        <f>IF(_xll.StatIsBlank(C36),"",_xll.StatLn(C36))</f>
        <v>18.681466840691087</v>
      </c>
      <c r="W36">
        <f>IF(_xll.StatIsBlank(D36),"",_xll.StatLn(D36))</f>
        <v>19.750991882777083</v>
      </c>
    </row>
    <row r="37" spans="1:23" x14ac:dyDescent="0.25">
      <c r="A37" s="1" t="s">
        <v>55</v>
      </c>
      <c r="B37" s="28">
        <v>39903</v>
      </c>
      <c r="C37" s="3">
        <v>1138677</v>
      </c>
      <c r="D37" s="3">
        <v>12789293</v>
      </c>
      <c r="E37" s="3">
        <v>432210</v>
      </c>
      <c r="F37" s="3">
        <v>207272</v>
      </c>
      <c r="G37" s="3">
        <v>159817</v>
      </c>
      <c r="H37" s="3">
        <v>4970089</v>
      </c>
      <c r="I37" s="3">
        <v>3889548</v>
      </c>
      <c r="J37" s="3">
        <v>1709252</v>
      </c>
      <c r="K37" s="3">
        <v>1709252</v>
      </c>
      <c r="L37" s="3"/>
      <c r="M37" s="3">
        <v>3260837</v>
      </c>
      <c r="N37">
        <v>3.22</v>
      </c>
      <c r="O37">
        <v>5.16</v>
      </c>
      <c r="P37">
        <v>5.93</v>
      </c>
      <c r="Q37">
        <v>3.38</v>
      </c>
      <c r="S37">
        <v>0.79</v>
      </c>
      <c r="T37">
        <v>2.2799999999999998</v>
      </c>
      <c r="U37">
        <v>43.87</v>
      </c>
      <c r="V37">
        <f>IF(_xll.StatIsBlank(C37),"",_xll.StatLn(C37))</f>
        <v>13.945377620122763</v>
      </c>
      <c r="W37">
        <f>IF(_xll.StatIsBlank(D37),"",_xll.StatLn(D37))</f>
        <v>16.364118894466571</v>
      </c>
    </row>
    <row r="38" spans="1:23" x14ac:dyDescent="0.25">
      <c r="A38" s="1" t="s">
        <v>56</v>
      </c>
      <c r="B38" s="28">
        <v>39992</v>
      </c>
      <c r="C38" s="3">
        <v>58176000</v>
      </c>
      <c r="D38" s="3">
        <v>335559000</v>
      </c>
      <c r="E38" s="3">
        <v>7976000</v>
      </c>
      <c r="F38" s="3">
        <v>859000</v>
      </c>
      <c r="G38" s="3">
        <v>2815000</v>
      </c>
      <c r="H38" s="3">
        <v>246637000</v>
      </c>
      <c r="I38" s="3">
        <v>116441000</v>
      </c>
      <c r="J38" s="3">
        <v>105127000</v>
      </c>
      <c r="K38" s="3">
        <v>93027000</v>
      </c>
      <c r="L38" s="3"/>
      <c r="M38" s="3">
        <v>141510000</v>
      </c>
      <c r="N38">
        <v>0.92</v>
      </c>
      <c r="O38">
        <v>1.51</v>
      </c>
      <c r="P38">
        <v>0.46</v>
      </c>
      <c r="Q38">
        <v>2.38</v>
      </c>
      <c r="R38">
        <v>46.76</v>
      </c>
      <c r="S38">
        <v>0.97</v>
      </c>
      <c r="T38">
        <v>1.25</v>
      </c>
      <c r="U38">
        <v>9.49</v>
      </c>
      <c r="V38">
        <f>IF(_xll.StatIsBlank(C38),"",_xll.StatLn(C38))</f>
        <v>17.878983456519286</v>
      </c>
      <c r="W38">
        <f>IF(_xll.StatIsBlank(D38),"",_xll.StatLn(D38))</f>
        <v>19.631308355844947</v>
      </c>
    </row>
    <row r="39" spans="1:23" x14ac:dyDescent="0.25">
      <c r="A39" s="1" t="s">
        <v>57</v>
      </c>
      <c r="B39" s="28">
        <v>40086</v>
      </c>
      <c r="C39" s="3">
        <v>103664000</v>
      </c>
      <c r="D39" s="3">
        <v>653079000</v>
      </c>
      <c r="E39" s="3">
        <v>158055000</v>
      </c>
      <c r="F39" s="3">
        <v>121924000</v>
      </c>
      <c r="G39" s="3">
        <v>91535000</v>
      </c>
      <c r="H39" s="3">
        <v>1068645000</v>
      </c>
      <c r="I39" s="3">
        <v>468182000</v>
      </c>
      <c r="J39" s="3">
        <v>269625000</v>
      </c>
      <c r="K39" s="3">
        <v>223014000</v>
      </c>
      <c r="L39" s="3"/>
      <c r="M39" s="3">
        <v>799020000</v>
      </c>
      <c r="N39">
        <v>9.1199999999999992</v>
      </c>
      <c r="O39">
        <v>12.07</v>
      </c>
      <c r="P39">
        <v>16.07</v>
      </c>
      <c r="Q39">
        <v>24.2</v>
      </c>
      <c r="R39">
        <v>30.47</v>
      </c>
      <c r="S39">
        <v>0.98</v>
      </c>
      <c r="T39">
        <v>2.1</v>
      </c>
      <c r="U39">
        <v>22.94</v>
      </c>
      <c r="V39">
        <f>IF(_xll.StatIsBlank(C39),"",_xll.StatLn(C39))</f>
        <v>18.456665457671875</v>
      </c>
      <c r="W39">
        <f>IF(_xll.StatIsBlank(D39),"",_xll.StatLn(D39))</f>
        <v>20.297208660015087</v>
      </c>
    </row>
    <row r="40" spans="1:23" x14ac:dyDescent="0.25">
      <c r="A40" s="1" t="s">
        <v>60</v>
      </c>
      <c r="B40" s="28">
        <v>39994</v>
      </c>
      <c r="C40" s="3">
        <v>2392000</v>
      </c>
      <c r="D40" s="3">
        <v>170161000</v>
      </c>
      <c r="E40" s="3">
        <v>9164000</v>
      </c>
      <c r="F40" s="3">
        <v>3958000</v>
      </c>
      <c r="G40" s="3">
        <v>3299000</v>
      </c>
      <c r="H40" s="3">
        <v>191539000</v>
      </c>
      <c r="I40" s="3">
        <v>109865000</v>
      </c>
      <c r="J40" s="3">
        <v>36727000</v>
      </c>
      <c r="K40" s="3">
        <v>35221000</v>
      </c>
      <c r="L40" s="3"/>
      <c r="M40" s="3">
        <v>154812000</v>
      </c>
      <c r="N40">
        <v>1.72</v>
      </c>
      <c r="O40" s="1">
        <v>2.17</v>
      </c>
      <c r="P40">
        <v>2.61</v>
      </c>
      <c r="Q40">
        <v>5.39</v>
      </c>
      <c r="R40">
        <v>26.56</v>
      </c>
      <c r="S40">
        <v>2.54</v>
      </c>
      <c r="T40">
        <v>3.12</v>
      </c>
      <c r="U40">
        <v>38.97</v>
      </c>
      <c r="V40">
        <f>IF(_xll.StatIsBlank(C40),"",_xll.StatLn(C40))</f>
        <v>14.687640394052659</v>
      </c>
      <c r="W40">
        <f>IF(_xll.StatIsBlank(D40),"",_xll.StatLn(D40))</f>
        <v>18.952255605660802</v>
      </c>
    </row>
    <row r="41" spans="1:23" x14ac:dyDescent="0.25">
      <c r="A41" s="1" t="s">
        <v>58</v>
      </c>
      <c r="B41" s="28">
        <v>39903</v>
      </c>
      <c r="C41" s="3">
        <v>5737000</v>
      </c>
      <c r="D41" s="3">
        <v>62108000</v>
      </c>
      <c r="E41" s="3">
        <v>12788000</v>
      </c>
      <c r="F41" s="3">
        <v>11524000</v>
      </c>
      <c r="G41" s="3">
        <v>9289000</v>
      </c>
      <c r="H41" s="3">
        <v>92673000</v>
      </c>
      <c r="I41" s="3">
        <v>67371000</v>
      </c>
      <c r="J41" s="3">
        <v>7968000</v>
      </c>
      <c r="K41" s="3">
        <v>7617000</v>
      </c>
      <c r="L41" s="3"/>
      <c r="M41" s="3">
        <v>84705000</v>
      </c>
      <c r="N41">
        <v>10.26</v>
      </c>
      <c r="O41">
        <v>11.48</v>
      </c>
      <c r="P41">
        <v>14.24</v>
      </c>
      <c r="Q41">
        <v>20.59</v>
      </c>
      <c r="R41">
        <v>27.92</v>
      </c>
      <c r="S41">
        <v>2.5</v>
      </c>
      <c r="T41">
        <v>8.84</v>
      </c>
      <c r="U41">
        <v>64.48</v>
      </c>
      <c r="V41">
        <f>IF(_xll.StatIsBlank(C41),"",_xll.StatLn(C41))</f>
        <v>15.562446983584008</v>
      </c>
      <c r="W41">
        <f>IF(_xll.StatIsBlank(D41),"",_xll.StatLn(D41))</f>
        <v>17.944385363083196</v>
      </c>
    </row>
    <row r="42" spans="1:23" x14ac:dyDescent="0.25">
      <c r="A42" s="1" t="s">
        <v>59</v>
      </c>
      <c r="B42" s="28">
        <v>39903</v>
      </c>
      <c r="C42" s="3">
        <v>18323000</v>
      </c>
      <c r="D42" s="3">
        <v>541027000</v>
      </c>
      <c r="E42" s="3">
        <v>142643000</v>
      </c>
      <c r="F42" s="3">
        <v>143544000</v>
      </c>
      <c r="G42" s="3">
        <v>87968000</v>
      </c>
      <c r="H42" s="3">
        <v>737423000</v>
      </c>
      <c r="I42" s="3">
        <v>632016000</v>
      </c>
      <c r="J42" s="3">
        <v>655518000</v>
      </c>
      <c r="K42" s="3">
        <v>574344000</v>
      </c>
      <c r="L42" s="3"/>
      <c r="M42" s="3">
        <v>81905000</v>
      </c>
      <c r="N42">
        <v>13.15</v>
      </c>
      <c r="O42">
        <v>101.38</v>
      </c>
      <c r="P42">
        <v>165.42</v>
      </c>
      <c r="Q42">
        <v>26.37</v>
      </c>
      <c r="R42">
        <v>38.130000000000003</v>
      </c>
      <c r="S42">
        <v>0.28999999999999998</v>
      </c>
      <c r="T42">
        <v>1.1000000000000001</v>
      </c>
      <c r="U42">
        <v>7.82</v>
      </c>
      <c r="V42">
        <f>IF(_xll.StatIsBlank(C42),"",_xll.StatLn(C42))</f>
        <v>16.723667659262311</v>
      </c>
      <c r="W42">
        <f>IF(_xll.StatIsBlank(D42),"",_xll.StatLn(D42))</f>
        <v>20.108979743143973</v>
      </c>
    </row>
    <row r="43" spans="1:23" x14ac:dyDescent="0.25">
      <c r="A43" s="1" t="s">
        <v>61</v>
      </c>
      <c r="B43" s="28">
        <v>40117</v>
      </c>
      <c r="C43" s="3">
        <v>2819000000</v>
      </c>
      <c r="D43" s="3">
        <v>114552000000</v>
      </c>
      <c r="E43" s="3">
        <v>14186000000</v>
      </c>
      <c r="F43" s="3">
        <v>10136000000</v>
      </c>
      <c r="G43" s="3">
        <v>7660000000</v>
      </c>
      <c r="H43" s="3">
        <v>114799000000</v>
      </c>
      <c r="I43" s="3">
        <v>52539000000</v>
      </c>
      <c r="J43" s="3">
        <v>74282000000</v>
      </c>
      <c r="K43" s="3">
        <v>43003000000</v>
      </c>
      <c r="L43" s="3">
        <v>13980000000</v>
      </c>
      <c r="M43" s="3">
        <v>40517000000</v>
      </c>
      <c r="N43">
        <v>6.72</v>
      </c>
      <c r="O43">
        <v>19.28</v>
      </c>
      <c r="P43">
        <v>17.920000000000002</v>
      </c>
      <c r="Q43">
        <v>12.38</v>
      </c>
      <c r="R43">
        <v>18.64</v>
      </c>
      <c r="S43">
        <v>0.84</v>
      </c>
      <c r="T43">
        <v>1.22</v>
      </c>
      <c r="U43">
        <v>8.31</v>
      </c>
      <c r="V43">
        <f>IF(_xll.StatIsBlank(C43),"",_xll.StatLn(C43))</f>
        <v>21.759648049078386</v>
      </c>
      <c r="W43">
        <f>IF(_xll.StatIsBlank(D43),"",_xll.StatLn(D43))</f>
        <v>25.464294705318117</v>
      </c>
    </row>
    <row r="44" spans="1:23" x14ac:dyDescent="0.25">
      <c r="A44" s="1" t="s">
        <v>63</v>
      </c>
      <c r="B44" s="28">
        <v>40083</v>
      </c>
      <c r="C44" s="3">
        <v>2266700</v>
      </c>
      <c r="D44" s="3">
        <v>11536200</v>
      </c>
      <c r="E44" s="3">
        <v>4328300</v>
      </c>
      <c r="F44" s="3">
        <v>-10254400</v>
      </c>
      <c r="G44" s="3">
        <v>914800</v>
      </c>
      <c r="H44" s="3">
        <v>5851600</v>
      </c>
      <c r="I44" s="3">
        <v>2901600</v>
      </c>
      <c r="J44" s="3">
        <v>10554900</v>
      </c>
      <c r="K44" s="3">
        <v>9172900</v>
      </c>
      <c r="L44" s="3"/>
      <c r="M44" s="3">
        <v>-4703300</v>
      </c>
      <c r="N44">
        <v>6.38</v>
      </c>
      <c r="P44">
        <v>-2374.1799999999998</v>
      </c>
      <c r="Q44">
        <v>37.520000000000003</v>
      </c>
      <c r="R44">
        <v>7.91</v>
      </c>
      <c r="S44">
        <v>0.26</v>
      </c>
      <c r="T44">
        <v>0.32</v>
      </c>
      <c r="U44">
        <v>-107.17</v>
      </c>
      <c r="V44">
        <f>IF(_xll.StatIsBlank(C44),"",_xll.StatLn(C44))</f>
        <v>14.633835587252449</v>
      </c>
      <c r="W44">
        <f>IF(_xll.StatIsBlank(D44),"",_xll.StatLn(D44))</f>
        <v>16.261000475388482</v>
      </c>
    </row>
    <row r="45" spans="1:23" x14ac:dyDescent="0.25">
      <c r="A45" s="1" t="s">
        <v>64</v>
      </c>
      <c r="B45" s="28">
        <v>39903</v>
      </c>
      <c r="C45" s="3">
        <v>4030000</v>
      </c>
      <c r="D45" s="3">
        <v>69359000</v>
      </c>
      <c r="E45" s="3">
        <v>6554000</v>
      </c>
      <c r="F45" s="3">
        <v>5707000</v>
      </c>
      <c r="G45" s="3">
        <v>10474000</v>
      </c>
      <c r="H45" s="3">
        <v>76066000</v>
      </c>
      <c r="I45" s="3">
        <v>33231000</v>
      </c>
      <c r="J45" s="3">
        <v>20708000</v>
      </c>
      <c r="K45" s="3">
        <v>12631000</v>
      </c>
      <c r="L45" s="3">
        <v>5274000</v>
      </c>
      <c r="M45" s="3">
        <v>55358000</v>
      </c>
      <c r="N45">
        <v>14.78</v>
      </c>
      <c r="O45">
        <v>21.25</v>
      </c>
      <c r="P45">
        <v>10.039999999999999</v>
      </c>
      <c r="Q45">
        <v>9.4499999999999993</v>
      </c>
      <c r="R45">
        <v>-102.32</v>
      </c>
      <c r="S45">
        <v>1.82</v>
      </c>
      <c r="T45">
        <v>2.63</v>
      </c>
      <c r="U45">
        <v>27.08</v>
      </c>
      <c r="V45">
        <f>IF(_xll.StatIsBlank(C45),"",_xll.StatLn(C45))</f>
        <v>15.209276933922865</v>
      </c>
      <c r="W45">
        <f>IF(_xll.StatIsBlank(D45),"",_xll.StatLn(D45))</f>
        <v>18.054806472800909</v>
      </c>
    </row>
    <row r="46" spans="1:23" x14ac:dyDescent="0.25">
      <c r="A46" s="1" t="s">
        <v>62</v>
      </c>
      <c r="B46" s="28">
        <v>39903</v>
      </c>
      <c r="C46" s="3">
        <v>19931000</v>
      </c>
      <c r="D46" s="3">
        <v>273552000</v>
      </c>
      <c r="E46" s="3">
        <v>16930000</v>
      </c>
      <c r="F46" s="3">
        <v>-26000</v>
      </c>
      <c r="G46" s="3">
        <v>-3349000</v>
      </c>
      <c r="H46" s="3">
        <v>252832000</v>
      </c>
      <c r="I46" s="3">
        <v>185220000</v>
      </c>
      <c r="J46" s="3">
        <v>74340000</v>
      </c>
      <c r="K46" s="3">
        <v>34303000</v>
      </c>
      <c r="L46" s="3">
        <v>22017000</v>
      </c>
      <c r="M46" s="3">
        <v>178492000</v>
      </c>
      <c r="N46">
        <v>-1.23</v>
      </c>
      <c r="O46">
        <v>-1.77</v>
      </c>
      <c r="P46">
        <v>-0.01</v>
      </c>
      <c r="Q46">
        <v>6.19</v>
      </c>
      <c r="R46">
        <v>193.97</v>
      </c>
      <c r="S46">
        <v>2.7</v>
      </c>
      <c r="T46">
        <v>5.4</v>
      </c>
      <c r="U46">
        <v>59.69</v>
      </c>
      <c r="V46">
        <f>IF(_xll.StatIsBlank(C46),"",_xll.StatLn(C46))</f>
        <v>16.807786866544873</v>
      </c>
      <c r="W46">
        <f>IF(_xll.StatIsBlank(D46),"",_xll.StatLn(D46))</f>
        <v>19.427002289725028</v>
      </c>
    </row>
    <row r="47" spans="1:23" x14ac:dyDescent="0.25">
      <c r="A47" s="1" t="s">
        <v>65</v>
      </c>
      <c r="B47" s="28">
        <v>39991</v>
      </c>
      <c r="C47" s="3">
        <v>2266000</v>
      </c>
      <c r="D47" s="3">
        <v>184924000</v>
      </c>
      <c r="E47" s="3">
        <v>3378000</v>
      </c>
      <c r="F47" s="3">
        <v>1783000</v>
      </c>
      <c r="G47" s="3">
        <v>1063000</v>
      </c>
      <c r="H47" s="3">
        <v>77755000</v>
      </c>
      <c r="I47" s="3">
        <v>61055000</v>
      </c>
      <c r="J47" s="3">
        <v>26641000</v>
      </c>
      <c r="K47" s="3">
        <v>23611000</v>
      </c>
      <c r="L47" s="3">
        <v>2412000</v>
      </c>
      <c r="M47" s="3">
        <v>51114000</v>
      </c>
      <c r="N47">
        <v>1.21</v>
      </c>
      <c r="O47">
        <v>2.13</v>
      </c>
      <c r="P47">
        <v>3.11</v>
      </c>
      <c r="Q47">
        <v>1.83</v>
      </c>
      <c r="R47">
        <v>10.9</v>
      </c>
      <c r="S47">
        <v>1.08</v>
      </c>
      <c r="T47">
        <v>2.59</v>
      </c>
      <c r="U47">
        <v>48.16</v>
      </c>
      <c r="V47">
        <f>IF(_xll.StatIsBlank(C47),"",_xll.StatLn(C47))</f>
        <v>14.633526720570089</v>
      </c>
      <c r="W47">
        <f>IF(_xll.StatIsBlank(D47),"",_xll.StatLn(D47))</f>
        <v>19.03545548782591</v>
      </c>
    </row>
    <row r="48" spans="1:23" x14ac:dyDescent="0.25">
      <c r="A48" s="1" t="s">
        <v>66</v>
      </c>
      <c r="B48" s="28">
        <v>39992</v>
      </c>
      <c r="C48" s="3">
        <v>185843000</v>
      </c>
      <c r="D48" s="3">
        <v>968498000</v>
      </c>
      <c r="E48" s="3">
        <v>484310000</v>
      </c>
      <c r="F48" s="3">
        <v>412076000</v>
      </c>
      <c r="G48" s="3">
        <v>313510000</v>
      </c>
      <c r="H48" s="3">
        <v>1421529000</v>
      </c>
      <c r="I48" s="3">
        <v>1089251000</v>
      </c>
      <c r="J48" s="3">
        <v>1688131000</v>
      </c>
      <c r="K48" s="3">
        <v>125341000</v>
      </c>
      <c r="L48" s="3">
        <v>1405644000</v>
      </c>
      <c r="M48" s="3">
        <v>-266602000</v>
      </c>
      <c r="N48">
        <v>20.92</v>
      </c>
      <c r="P48">
        <v>34.36</v>
      </c>
      <c r="Q48">
        <v>50.01</v>
      </c>
      <c r="R48">
        <v>22.97</v>
      </c>
      <c r="S48">
        <v>2.4900000000000002</v>
      </c>
      <c r="T48">
        <v>8.69</v>
      </c>
      <c r="U48">
        <v>67.81</v>
      </c>
      <c r="V48">
        <f>IF(_xll.StatIsBlank(C48),"",_xll.StatLn(C48))</f>
        <v>19.040412789214773</v>
      </c>
      <c r="W48">
        <f>IF(_xll.StatIsBlank(D48),"",_xll.StatLn(D48))</f>
        <v>20.691256975760147</v>
      </c>
    </row>
    <row r="49" spans="1:23" x14ac:dyDescent="0.25">
      <c r="A49" s="1" t="s">
        <v>69</v>
      </c>
      <c r="B49" s="28">
        <v>39992</v>
      </c>
      <c r="C49" s="3">
        <v>3522000</v>
      </c>
      <c r="D49" s="3">
        <v>98221000</v>
      </c>
      <c r="E49" s="3">
        <v>7189000</v>
      </c>
      <c r="F49" s="3">
        <v>6146000</v>
      </c>
      <c r="G49" s="3">
        <v>3283000</v>
      </c>
      <c r="H49" s="3">
        <v>84080000</v>
      </c>
      <c r="I49" s="3">
        <v>43816000</v>
      </c>
      <c r="J49" s="3">
        <v>95371000</v>
      </c>
      <c r="K49" s="3">
        <v>12040000</v>
      </c>
      <c r="L49" s="3">
        <v>4000</v>
      </c>
      <c r="M49" s="3">
        <v>-11291000</v>
      </c>
      <c r="N49">
        <v>3.75</v>
      </c>
      <c r="O49">
        <v>35.57</v>
      </c>
      <c r="P49">
        <v>66.459999999999994</v>
      </c>
      <c r="Q49">
        <v>7.32</v>
      </c>
      <c r="R49">
        <v>20.93</v>
      </c>
      <c r="S49">
        <v>2.4900000000000002</v>
      </c>
      <c r="T49">
        <v>3.64</v>
      </c>
      <c r="U49">
        <v>37.79</v>
      </c>
      <c r="V49">
        <f>IF(_xll.StatIsBlank(C49),"",_xll.StatLn(C49))</f>
        <v>15.074539568038288</v>
      </c>
      <c r="W49">
        <f>IF(_xll.StatIsBlank(D49),"",_xll.StatLn(D49))</f>
        <v>18.402730599749365</v>
      </c>
    </row>
    <row r="50" spans="1:23" x14ac:dyDescent="0.25">
      <c r="A50" s="1" t="s">
        <v>70</v>
      </c>
      <c r="B50" s="28">
        <v>39991</v>
      </c>
      <c r="C50" s="3">
        <v>521628000</v>
      </c>
      <c r="D50" s="3">
        <v>1646015000</v>
      </c>
      <c r="E50" s="3">
        <v>227119000</v>
      </c>
      <c r="F50" s="3">
        <v>17378000</v>
      </c>
      <c r="G50" s="3">
        <v>10455000</v>
      </c>
      <c r="H50" s="3">
        <v>3081775000</v>
      </c>
      <c r="I50" s="3">
        <v>1584951000</v>
      </c>
      <c r="J50" s="3">
        <v>487310000</v>
      </c>
      <c r="K50" s="3">
        <v>268776000</v>
      </c>
      <c r="L50" s="3"/>
      <c r="M50" s="3">
        <v>2594465000</v>
      </c>
      <c r="N50">
        <v>0.31</v>
      </c>
      <c r="O50">
        <v>0.37</v>
      </c>
      <c r="P50">
        <v>0.61</v>
      </c>
      <c r="Q50">
        <v>13.8</v>
      </c>
      <c r="R50">
        <v>69.8</v>
      </c>
      <c r="S50">
        <v>4.17</v>
      </c>
      <c r="T50">
        <v>5.9</v>
      </c>
      <c r="U50">
        <v>42.71</v>
      </c>
      <c r="V50">
        <f>IF(_xll.StatIsBlank(C50),"",_xll.StatLn(C50))</f>
        <v>20.072465248117538</v>
      </c>
      <c r="W50">
        <f>IF(_xll.StatIsBlank(D50),"",_xll.StatLn(D50))</f>
        <v>21.221623052160982</v>
      </c>
    </row>
    <row r="51" spans="1:23" x14ac:dyDescent="0.25">
      <c r="A51" s="1" t="s">
        <v>71</v>
      </c>
      <c r="B51" s="28">
        <v>39927</v>
      </c>
      <c r="C51" s="3">
        <v>1355000000</v>
      </c>
      <c r="D51" s="3">
        <v>14599000000</v>
      </c>
      <c r="E51" s="3">
        <v>3041000000</v>
      </c>
      <c r="F51" s="3">
        <v>3019000000</v>
      </c>
      <c r="G51" s="3">
        <v>2169000000</v>
      </c>
      <c r="H51" s="3">
        <v>23661000000</v>
      </c>
      <c r="I51" s="3">
        <v>7460000000</v>
      </c>
      <c r="J51" s="3">
        <v>10810000000</v>
      </c>
      <c r="K51" s="3">
        <v>3147000000</v>
      </c>
      <c r="L51" s="3">
        <v>6772000000</v>
      </c>
      <c r="M51" s="3">
        <v>12851000000</v>
      </c>
      <c r="N51">
        <v>9.49</v>
      </c>
      <c r="O51">
        <v>17.84</v>
      </c>
      <c r="P51">
        <v>15.67</v>
      </c>
      <c r="Q51">
        <v>20.83</v>
      </c>
      <c r="R51">
        <v>16.38</v>
      </c>
      <c r="S51">
        <v>1.4</v>
      </c>
      <c r="T51">
        <v>2.37</v>
      </c>
      <c r="U51">
        <v>18.23</v>
      </c>
      <c r="V51">
        <f>IF(_xll.StatIsBlank(C51),"",_xll.StatLn(C51))</f>
        <v>21.027067291278076</v>
      </c>
      <c r="W51">
        <f>IF(_xll.StatIsBlank(D51),"",_xll.StatLn(D51))</f>
        <v>23.404218870164254</v>
      </c>
    </row>
    <row r="52" spans="1:23" x14ac:dyDescent="0.25">
      <c r="A52" s="1" t="s">
        <v>72</v>
      </c>
      <c r="B52" s="28">
        <v>39994</v>
      </c>
      <c r="C52" s="3">
        <v>42372000</v>
      </c>
      <c r="D52" s="3">
        <v>188939000</v>
      </c>
      <c r="E52" s="3">
        <v>16564000</v>
      </c>
      <c r="F52" s="3">
        <v>7747000</v>
      </c>
      <c r="G52" s="3">
        <v>-1262000</v>
      </c>
      <c r="H52" s="3">
        <v>219372000</v>
      </c>
      <c r="I52" s="3">
        <v>146105000</v>
      </c>
      <c r="J52" s="3">
        <v>74335000</v>
      </c>
      <c r="K52" s="3">
        <v>65389000</v>
      </c>
      <c r="L52" s="3">
        <v>2000</v>
      </c>
      <c r="M52" s="3">
        <v>145037000</v>
      </c>
      <c r="N52">
        <v>-0.45</v>
      </c>
      <c r="O52">
        <v>-0.87</v>
      </c>
      <c r="P52">
        <v>3.44</v>
      </c>
      <c r="Q52">
        <v>8.77</v>
      </c>
      <c r="R52">
        <v>1.36</v>
      </c>
      <c r="S52">
        <v>1.1599999999999999</v>
      </c>
      <c r="T52">
        <v>2.23</v>
      </c>
      <c r="U52">
        <v>36.79</v>
      </c>
      <c r="V52">
        <f>IF(_xll.StatIsBlank(C52),"",_xll.StatLn(C52))</f>
        <v>17.561998324698525</v>
      </c>
      <c r="W52">
        <f>IF(_xll.StatIsBlank(D52),"",_xll.StatLn(D52))</f>
        <v>19.056934769605746</v>
      </c>
    </row>
    <row r="53" spans="1:23" x14ac:dyDescent="0.25">
      <c r="A53" s="1" t="s">
        <v>73</v>
      </c>
      <c r="B53" s="28">
        <v>39903</v>
      </c>
      <c r="C53" s="3">
        <v>636000</v>
      </c>
      <c r="D53" s="3">
        <v>21536000</v>
      </c>
      <c r="E53" s="3">
        <v>7893000</v>
      </c>
      <c r="F53" s="3">
        <v>7608000</v>
      </c>
      <c r="G53" s="3">
        <v>4790000</v>
      </c>
      <c r="H53" s="3">
        <v>29614000</v>
      </c>
      <c r="I53" s="3">
        <v>18593000</v>
      </c>
      <c r="J53" s="3">
        <v>2012000</v>
      </c>
      <c r="K53" s="3">
        <v>1484000</v>
      </c>
      <c r="L53" s="3"/>
      <c r="M53" s="3">
        <v>27602000</v>
      </c>
      <c r="N53">
        <v>17.37</v>
      </c>
      <c r="O53" s="1">
        <v>18.66</v>
      </c>
      <c r="P53">
        <v>29.64</v>
      </c>
      <c r="Q53">
        <v>36.65</v>
      </c>
      <c r="R53">
        <v>37.74</v>
      </c>
      <c r="S53">
        <v>9.0500000000000007</v>
      </c>
      <c r="T53">
        <v>12.53</v>
      </c>
      <c r="U53">
        <v>57.77</v>
      </c>
      <c r="V53">
        <f>IF(_xll.StatIsBlank(C53),"",_xll.StatLn(C53))</f>
        <v>13.362953842322259</v>
      </c>
      <c r="W53">
        <f>IF(_xll.StatIsBlank(D53),"",_xll.StatLn(D53))</f>
        <v>16.885236511426591</v>
      </c>
    </row>
    <row r="54" spans="1:23" x14ac:dyDescent="0.25">
      <c r="A54" s="1" t="s">
        <v>74</v>
      </c>
      <c r="B54" s="28">
        <v>40178</v>
      </c>
      <c r="C54" s="3">
        <v>89685000</v>
      </c>
      <c r="D54" s="3">
        <v>1728853000</v>
      </c>
      <c r="E54" s="3">
        <v>284313000</v>
      </c>
      <c r="F54" s="3">
        <v>282631000</v>
      </c>
      <c r="G54" s="3">
        <v>172593000</v>
      </c>
      <c r="H54" s="3">
        <v>1718787000</v>
      </c>
      <c r="I54" s="3">
        <v>646107000</v>
      </c>
      <c r="J54" s="3">
        <v>1007649000</v>
      </c>
      <c r="K54" s="3">
        <v>494675000</v>
      </c>
      <c r="L54" s="3">
        <v>203590000</v>
      </c>
      <c r="M54" s="3">
        <v>711138000</v>
      </c>
      <c r="N54">
        <v>10.210000000000001</v>
      </c>
      <c r="O54" s="1">
        <v>28.42</v>
      </c>
      <c r="P54">
        <v>28.81</v>
      </c>
      <c r="Q54">
        <v>16.45</v>
      </c>
      <c r="R54">
        <v>23.21</v>
      </c>
      <c r="S54">
        <v>0.8</v>
      </c>
      <c r="T54">
        <v>1.31</v>
      </c>
      <c r="U54">
        <v>8.81</v>
      </c>
      <c r="V54">
        <f>IF(_xll.StatIsBlank(C54),"",_xll.StatLn(C54))</f>
        <v>18.311814088965253</v>
      </c>
      <c r="W54">
        <f>IF(_xll.StatIsBlank(D54),"",_xll.StatLn(D54))</f>
        <v>21.270724019790222</v>
      </c>
    </row>
    <row r="55" spans="1:23" x14ac:dyDescent="0.25">
      <c r="A55" s="1" t="s">
        <v>75</v>
      </c>
      <c r="B55" s="28">
        <v>39903</v>
      </c>
      <c r="C55" s="3">
        <v>115524000</v>
      </c>
      <c r="D55" s="3">
        <v>903297000</v>
      </c>
      <c r="E55" s="3">
        <v>322274000</v>
      </c>
      <c r="F55" s="3">
        <v>239762000</v>
      </c>
      <c r="G55" s="3">
        <v>248820000</v>
      </c>
      <c r="H55" s="3">
        <v>2421439000</v>
      </c>
      <c r="I55" s="3">
        <v>1742789000</v>
      </c>
      <c r="J55" s="3">
        <v>1430673000</v>
      </c>
      <c r="K55" s="3">
        <v>155645000</v>
      </c>
      <c r="L55" s="3">
        <v>1149184000</v>
      </c>
      <c r="M55" s="3">
        <v>990766000</v>
      </c>
      <c r="N55">
        <v>10.09</v>
      </c>
      <c r="O55">
        <v>24.55</v>
      </c>
      <c r="P55">
        <v>11.08</v>
      </c>
      <c r="Q55">
        <v>35.68</v>
      </c>
      <c r="R55">
        <v>-4.88</v>
      </c>
      <c r="S55">
        <v>3.44</v>
      </c>
      <c r="T55">
        <v>11.2</v>
      </c>
      <c r="U55">
        <v>65.55</v>
      </c>
      <c r="V55">
        <f>IF(_xll.StatIsBlank(C55),"",_xll.StatLn(C55))</f>
        <v>18.564988858548105</v>
      </c>
      <c r="W55">
        <f>IF(_xll.StatIsBlank(D55),"",_xll.StatLn(D55))</f>
        <v>20.621561960958793</v>
      </c>
    </row>
    <row r="56" spans="1:23" x14ac:dyDescent="0.25">
      <c r="A56" s="1" t="s">
        <v>67</v>
      </c>
      <c r="B56" s="28">
        <v>39994</v>
      </c>
      <c r="C56" s="3">
        <v>21496000</v>
      </c>
      <c r="D56" s="3">
        <v>70193000</v>
      </c>
      <c r="E56" s="3">
        <v>21117000</v>
      </c>
      <c r="F56" s="3">
        <v>20833000</v>
      </c>
      <c r="G56" s="3">
        <v>-9438000</v>
      </c>
      <c r="H56" s="3">
        <v>67885000</v>
      </c>
      <c r="I56" s="3">
        <v>48534000</v>
      </c>
      <c r="J56" s="3">
        <v>41224000</v>
      </c>
      <c r="K56" s="3">
        <v>17870000</v>
      </c>
      <c r="L56" s="3">
        <v>7813000</v>
      </c>
      <c r="M56" s="3">
        <v>26661000</v>
      </c>
      <c r="N56">
        <v>-8.56</v>
      </c>
      <c r="O56" s="1">
        <v>-26.37</v>
      </c>
      <c r="P56" s="1">
        <v>37.51</v>
      </c>
      <c r="Q56">
        <v>30.08</v>
      </c>
      <c r="R56">
        <v>40.799999999999997</v>
      </c>
      <c r="S56">
        <v>2.64</v>
      </c>
      <c r="T56">
        <v>2.72</v>
      </c>
      <c r="U56">
        <v>45.17</v>
      </c>
      <c r="V56">
        <f>IF(_xll.StatIsBlank(C56),"",_xll.StatLn(C56))</f>
        <v>16.883377429277463</v>
      </c>
      <c r="W56">
        <f>IF(_xll.StatIsBlank(D56),"",_xll.StatLn(D56))</f>
        <v>18.066759148924444</v>
      </c>
    </row>
    <row r="57" spans="1:23" x14ac:dyDescent="0.25">
      <c r="A57" s="1" t="s">
        <v>68</v>
      </c>
      <c r="B57" s="28">
        <v>40089</v>
      </c>
      <c r="C57" s="3">
        <v>16322000</v>
      </c>
      <c r="D57" s="3">
        <v>408881000</v>
      </c>
      <c r="E57" s="3">
        <v>36951000</v>
      </c>
      <c r="F57" s="3">
        <v>24594000</v>
      </c>
      <c r="G57" s="3">
        <v>17394000</v>
      </c>
      <c r="H57" s="3">
        <v>386914000</v>
      </c>
      <c r="I57" s="3">
        <v>285558000</v>
      </c>
      <c r="J57" s="3">
        <v>182949000</v>
      </c>
      <c r="K57" s="3">
        <v>167992000</v>
      </c>
      <c r="L57" s="3"/>
      <c r="M57" s="3">
        <v>203965000</v>
      </c>
      <c r="N57">
        <v>4.3499999999999996</v>
      </c>
      <c r="O57" s="1">
        <v>8.3699999999999992</v>
      </c>
      <c r="P57">
        <v>10.17</v>
      </c>
      <c r="Q57">
        <v>9.0399999999999991</v>
      </c>
      <c r="R57">
        <v>27.23</v>
      </c>
      <c r="S57">
        <v>1.3</v>
      </c>
      <c r="T57">
        <v>1.7</v>
      </c>
      <c r="U57">
        <v>30.39</v>
      </c>
      <c r="V57">
        <f>IF(_xll.StatIsBlank(C57),"",_xll.StatLn(C57))</f>
        <v>16.608024449011324</v>
      </c>
      <c r="W57">
        <f>IF(_xll.StatIsBlank(D57),"",_xll.StatLn(D57))</f>
        <v>19.82893471812665</v>
      </c>
    </row>
    <row r="58" spans="1:23" x14ac:dyDescent="0.25">
      <c r="A58" s="1" t="s">
        <v>76</v>
      </c>
      <c r="B58" s="28">
        <v>40086</v>
      </c>
      <c r="C58" s="3">
        <v>5505000</v>
      </c>
      <c r="D58" s="3">
        <v>764432000</v>
      </c>
      <c r="E58" s="3">
        <v>96807000</v>
      </c>
      <c r="F58" s="3">
        <v>57399000</v>
      </c>
      <c r="G58" s="3">
        <v>46068000</v>
      </c>
      <c r="H58" s="3">
        <v>525930000</v>
      </c>
      <c r="I58" s="3">
        <v>348563000</v>
      </c>
      <c r="J58" s="3">
        <v>166942000</v>
      </c>
      <c r="K58" s="3">
        <v>146527000</v>
      </c>
      <c r="L58" s="3">
        <v>10852000</v>
      </c>
      <c r="M58" s="3">
        <v>358988000</v>
      </c>
      <c r="N58">
        <v>9.09</v>
      </c>
      <c r="O58">
        <v>13.77</v>
      </c>
      <c r="P58">
        <v>16.88</v>
      </c>
      <c r="Q58">
        <v>12.66</v>
      </c>
      <c r="R58">
        <v>17.79</v>
      </c>
      <c r="S58">
        <v>1.84</v>
      </c>
      <c r="T58">
        <v>2.38</v>
      </c>
      <c r="U58">
        <v>38.409999999999997</v>
      </c>
      <c r="V58">
        <f>IF(_xll.StatIsBlank(C58),"",_xll.StatLn(C58))</f>
        <v>15.521167328138917</v>
      </c>
      <c r="W58">
        <f>IF(_xll.StatIsBlank(D58),"",_xll.StatLn(D58))</f>
        <v>20.454643632353172</v>
      </c>
    </row>
    <row r="59" spans="1:23" x14ac:dyDescent="0.25">
      <c r="A59" s="1" t="s">
        <v>78</v>
      </c>
      <c r="B59" s="28">
        <v>39964</v>
      </c>
      <c r="C59" s="3">
        <v>308900000</v>
      </c>
      <c r="D59" s="3">
        <v>1460400000</v>
      </c>
      <c r="E59" s="3">
        <v>295700000</v>
      </c>
      <c r="F59" s="3">
        <v>183200000</v>
      </c>
      <c r="G59" s="3">
        <v>73300000</v>
      </c>
      <c r="H59" s="3">
        <v>1963300000</v>
      </c>
      <c r="I59" s="3">
        <v>1087200000</v>
      </c>
      <c r="J59" s="3">
        <v>1786300000</v>
      </c>
      <c r="K59" s="3">
        <v>275600000</v>
      </c>
      <c r="L59" s="3">
        <v>1227400000</v>
      </c>
      <c r="M59" s="3">
        <v>177000000</v>
      </c>
      <c r="N59">
        <v>3.51</v>
      </c>
      <c r="O59">
        <v>38.57</v>
      </c>
      <c r="P59">
        <v>11.48</v>
      </c>
      <c r="Q59">
        <v>20.25</v>
      </c>
      <c r="R59">
        <v>35.479999999999997</v>
      </c>
      <c r="S59">
        <v>2.8</v>
      </c>
      <c r="T59">
        <v>3.94</v>
      </c>
      <c r="U59">
        <v>41.34</v>
      </c>
      <c r="V59">
        <f>IF(_xll.StatIsBlank(C59),"",_xll.StatLn(C59))</f>
        <v>19.548528157888811</v>
      </c>
      <c r="W59">
        <f>IF(_xll.StatIsBlank(D59),"",_xll.StatLn(D59))</f>
        <v>21.101976207745757</v>
      </c>
    </row>
    <row r="60" spans="1:23" x14ac:dyDescent="0.25">
      <c r="A60" s="1" t="s">
        <v>79</v>
      </c>
      <c r="B60" s="28">
        <v>39927</v>
      </c>
      <c r="C60" s="3">
        <v>498495000</v>
      </c>
      <c r="D60" s="3">
        <v>3406393000</v>
      </c>
      <c r="E60" s="3">
        <v>184622000</v>
      </c>
      <c r="F60" s="3">
        <v>47175000</v>
      </c>
      <c r="G60" s="3">
        <v>86545000</v>
      </c>
      <c r="H60" s="3">
        <v>5472819000</v>
      </c>
      <c r="I60" s="3">
        <v>3438784000</v>
      </c>
      <c r="J60" s="3">
        <v>3810473000</v>
      </c>
      <c r="K60" s="3">
        <v>1679325000</v>
      </c>
      <c r="L60" s="3">
        <v>1265000000</v>
      </c>
      <c r="M60" s="3">
        <v>1662346000</v>
      </c>
      <c r="N60">
        <v>1.82</v>
      </c>
      <c r="O60" s="1">
        <v>5.16</v>
      </c>
      <c r="P60">
        <v>1.97</v>
      </c>
      <c r="Q60">
        <v>5.42</v>
      </c>
      <c r="R60">
        <v>-93.06</v>
      </c>
      <c r="S60">
        <v>1.1599999999999999</v>
      </c>
      <c r="T60">
        <v>2.0499999999999998</v>
      </c>
      <c r="U60">
        <v>32.15</v>
      </c>
      <c r="V60">
        <f>IF(_xll.StatIsBlank(C60),"",_xll.StatLn(C60))</f>
        <v>20.027104117225594</v>
      </c>
      <c r="W60">
        <f>IF(_xll.StatIsBlank(D60),"",_xll.StatLn(D60))</f>
        <v>21.948919797146001</v>
      </c>
    </row>
    <row r="61" spans="1:23" x14ac:dyDescent="0.25">
      <c r="A61" s="1" t="s">
        <v>80</v>
      </c>
      <c r="B61" s="28">
        <v>39844</v>
      </c>
      <c r="C61" s="3">
        <v>32557000</v>
      </c>
      <c r="D61" s="3">
        <v>187769000</v>
      </c>
      <c r="E61" s="3">
        <v>16594000</v>
      </c>
      <c r="F61" s="3">
        <v>12589000</v>
      </c>
      <c r="G61" s="3">
        <v>31519000</v>
      </c>
      <c r="H61" s="3">
        <v>258859000</v>
      </c>
      <c r="I61" s="3">
        <v>180763000</v>
      </c>
      <c r="J61" s="3">
        <v>82237000</v>
      </c>
      <c r="K61" s="3">
        <v>67433000</v>
      </c>
      <c r="L61" s="3"/>
      <c r="M61" s="3">
        <v>176622000</v>
      </c>
      <c r="N61">
        <v>13.74</v>
      </c>
      <c r="O61">
        <v>20.079999999999998</v>
      </c>
      <c r="P61">
        <v>8.02</v>
      </c>
      <c r="Q61">
        <v>8.84</v>
      </c>
      <c r="R61">
        <v>-95.78</v>
      </c>
      <c r="S61">
        <v>2.17</v>
      </c>
      <c r="T61">
        <v>2.68</v>
      </c>
      <c r="U61">
        <v>43.78</v>
      </c>
      <c r="V61">
        <f>IF(_xll.StatIsBlank(C61),"",_xll.StatLn(C61))</f>
        <v>17.298502957261547</v>
      </c>
      <c r="W61">
        <f>IF(_xll.StatIsBlank(D61),"",_xll.StatLn(D61))</f>
        <v>19.050723041890436</v>
      </c>
    </row>
    <row r="62" spans="1:23" x14ac:dyDescent="0.25">
      <c r="A62" s="1" t="s">
        <v>81</v>
      </c>
      <c r="B62" s="28">
        <v>40086</v>
      </c>
      <c r="C62" s="3">
        <v>1917614</v>
      </c>
      <c r="D62" s="3">
        <v>6032257</v>
      </c>
      <c r="E62" s="3">
        <v>163812</v>
      </c>
      <c r="F62" s="3">
        <v>63787</v>
      </c>
      <c r="G62" s="3">
        <v>70685</v>
      </c>
      <c r="H62" s="3">
        <v>2679249</v>
      </c>
      <c r="I62" s="3">
        <v>2416530</v>
      </c>
      <c r="J62" s="3">
        <v>3814591</v>
      </c>
      <c r="K62" s="3">
        <v>3670798</v>
      </c>
      <c r="L62" s="3">
        <v>6543</v>
      </c>
      <c r="M62" s="3">
        <v>-1135342</v>
      </c>
      <c r="N62">
        <v>3.2</v>
      </c>
      <c r="Q62">
        <v>2.72</v>
      </c>
      <c r="S62">
        <v>0.65</v>
      </c>
      <c r="T62">
        <v>0.66</v>
      </c>
      <c r="U62">
        <v>-46.81</v>
      </c>
      <c r="V62">
        <f>IF(_xll.StatIsBlank(C62),"",_xll.StatLn(C62))</f>
        <v>14.466592262868318</v>
      </c>
      <c r="W62">
        <f>IF(_xll.StatIsBlank(D62),"",_xll.StatLn(D62))</f>
        <v>15.612631793863111</v>
      </c>
    </row>
    <row r="63" spans="1:23" x14ac:dyDescent="0.25">
      <c r="A63" s="1" t="s">
        <v>77</v>
      </c>
      <c r="B63" s="28">
        <v>39903</v>
      </c>
      <c r="C63" s="3">
        <v>1218572</v>
      </c>
      <c r="D63" s="3">
        <v>23372269</v>
      </c>
      <c r="E63" s="3">
        <v>13729530</v>
      </c>
      <c r="F63" s="3">
        <v>13251590</v>
      </c>
      <c r="G63" s="3">
        <v>9782895</v>
      </c>
      <c r="H63" s="3">
        <v>42566440</v>
      </c>
      <c r="I63" s="3">
        <v>8826418</v>
      </c>
      <c r="J63" s="3">
        <v>998869</v>
      </c>
      <c r="K63" s="3">
        <v>998869</v>
      </c>
      <c r="L63" s="3"/>
      <c r="M63" s="3">
        <v>41567571</v>
      </c>
      <c r="N63">
        <v>25.97</v>
      </c>
      <c r="O63">
        <v>26.77</v>
      </c>
      <c r="P63">
        <v>36.270000000000003</v>
      </c>
      <c r="Q63">
        <v>58.74</v>
      </c>
      <c r="R63">
        <v>32.19</v>
      </c>
      <c r="S63">
        <v>5.25</v>
      </c>
      <c r="T63">
        <v>8.84</v>
      </c>
      <c r="U63">
        <v>18.39</v>
      </c>
      <c r="V63">
        <f>IF(_xll.StatIsBlank(C63),"",_xll.StatLn(C63))</f>
        <v>14.013190239345615</v>
      </c>
      <c r="W63">
        <f>IF(_xll.StatIsBlank(D63),"",_xll.StatLn(D63))</f>
        <v>16.967060792088777</v>
      </c>
    </row>
    <row r="64" spans="1:23" x14ac:dyDescent="0.25">
      <c r="A64" s="1" t="s">
        <v>82</v>
      </c>
      <c r="B64" s="28">
        <v>39994</v>
      </c>
      <c r="C64" s="3">
        <v>36862000</v>
      </c>
      <c r="D64" s="3">
        <v>590361000</v>
      </c>
      <c r="E64" s="3">
        <v>35427000</v>
      </c>
      <c r="F64" s="3">
        <v>19527000</v>
      </c>
      <c r="G64" s="3">
        <v>11152000</v>
      </c>
      <c r="H64" s="3">
        <v>474828000</v>
      </c>
      <c r="I64" s="3">
        <v>323243000</v>
      </c>
      <c r="J64" s="3">
        <v>198828000</v>
      </c>
      <c r="K64" s="3">
        <v>135635000</v>
      </c>
      <c r="L64" s="3">
        <v>39803000</v>
      </c>
      <c r="M64" s="3">
        <v>276000000</v>
      </c>
      <c r="N64">
        <v>2.27</v>
      </c>
      <c r="O64">
        <v>4.03</v>
      </c>
      <c r="P64">
        <v>5.74</v>
      </c>
      <c r="Q64">
        <v>6</v>
      </c>
      <c r="R64">
        <v>32.51</v>
      </c>
      <c r="S64">
        <v>1.02</v>
      </c>
      <c r="T64">
        <v>2.38</v>
      </c>
      <c r="U64">
        <v>39.51</v>
      </c>
      <c r="V64">
        <f>IF(_xll.StatIsBlank(C64),"",_xll.StatLn(C64))</f>
        <v>17.422691768093706</v>
      </c>
      <c r="W64">
        <f>IF(_xll.StatIsBlank(D64),"",_xll.StatLn(D64))</f>
        <v>20.196244772158114</v>
      </c>
    </row>
    <row r="65" spans="1:23" x14ac:dyDescent="0.25">
      <c r="A65" s="1" t="s">
        <v>83</v>
      </c>
      <c r="B65" s="28">
        <v>40086</v>
      </c>
      <c r="C65" s="3">
        <v>8062000</v>
      </c>
      <c r="D65" s="3">
        <v>92860000</v>
      </c>
      <c r="E65" s="3">
        <v>8004000</v>
      </c>
      <c r="F65" s="3">
        <v>3621000</v>
      </c>
      <c r="G65" s="3">
        <v>1760000</v>
      </c>
      <c r="H65" s="3">
        <v>141482000</v>
      </c>
      <c r="I65" s="3">
        <v>95742000</v>
      </c>
      <c r="J65" s="3">
        <v>22824000</v>
      </c>
      <c r="K65" s="3">
        <v>12900000</v>
      </c>
      <c r="L65" s="3">
        <v>8820000</v>
      </c>
      <c r="M65" s="3">
        <v>118658000</v>
      </c>
      <c r="N65">
        <v>1.17</v>
      </c>
      <c r="O65">
        <v>1.49</v>
      </c>
      <c r="P65">
        <v>2.72</v>
      </c>
      <c r="Q65">
        <v>8.6199999999999992</v>
      </c>
      <c r="R65">
        <v>46.84</v>
      </c>
      <c r="S65">
        <v>2.5499999999999998</v>
      </c>
      <c r="T65">
        <v>7.42</v>
      </c>
      <c r="U65">
        <v>58.55</v>
      </c>
      <c r="V65">
        <f>IF(_xll.StatIsBlank(C65),"",_xll.StatLn(C65))</f>
        <v>15.902672222659248</v>
      </c>
      <c r="W65">
        <f>IF(_xll.StatIsBlank(D65),"",_xll.StatLn(D65))</f>
        <v>18.34660354055605</v>
      </c>
    </row>
    <row r="66" spans="1:23" x14ac:dyDescent="0.25">
      <c r="A66" s="1" t="s">
        <v>84</v>
      </c>
      <c r="B66" s="28">
        <v>39991</v>
      </c>
      <c r="C66" s="3">
        <v>16697000</v>
      </c>
      <c r="D66" s="3">
        <v>128645000</v>
      </c>
      <c r="E66" s="3">
        <v>9711000</v>
      </c>
      <c r="F66" s="3">
        <v>3017000</v>
      </c>
      <c r="G66" s="3">
        <v>6087000</v>
      </c>
      <c r="H66" s="3">
        <v>246058000</v>
      </c>
      <c r="I66" s="3">
        <v>161378000</v>
      </c>
      <c r="J66" s="3">
        <v>33850000</v>
      </c>
      <c r="K66" s="3">
        <v>26002000</v>
      </c>
      <c r="L66" s="3">
        <v>1610000</v>
      </c>
      <c r="M66" s="3">
        <v>212208000</v>
      </c>
      <c r="N66">
        <v>2.56</v>
      </c>
      <c r="O66">
        <v>2.91</v>
      </c>
      <c r="P66">
        <v>1.44</v>
      </c>
      <c r="Q66">
        <v>7.55</v>
      </c>
      <c r="R66">
        <v>27.41</v>
      </c>
      <c r="S66">
        <v>2.38</v>
      </c>
      <c r="T66">
        <v>6.21</v>
      </c>
      <c r="U66">
        <v>55.02</v>
      </c>
      <c r="V66">
        <f>IF(_xll.StatIsBlank(C66),"",_xll.StatLn(C66))</f>
        <v>16.630739620531095</v>
      </c>
      <c r="W66">
        <f>IF(_xll.StatIsBlank(D66),"",_xll.StatLn(D66))</f>
        <v>18.672567230798787</v>
      </c>
    </row>
    <row r="67" spans="1:23" x14ac:dyDescent="0.25">
      <c r="A67" s="1" t="s">
        <v>85</v>
      </c>
      <c r="B67" s="28">
        <v>40083</v>
      </c>
      <c r="C67" s="3">
        <v>2440000000</v>
      </c>
      <c r="D67" s="3">
        <v>10416000000</v>
      </c>
      <c r="E67" s="3">
        <v>2545000000</v>
      </c>
      <c r="F67" s="3">
        <v>2226000000</v>
      </c>
      <c r="G67" s="3">
        <v>1592000000</v>
      </c>
      <c r="H67" s="3">
        <v>27445000000</v>
      </c>
      <c r="I67" s="3">
        <v>12570000000</v>
      </c>
      <c r="J67" s="3">
        <v>7129000000</v>
      </c>
      <c r="K67" s="3">
        <v>2813000000</v>
      </c>
      <c r="L67" s="3"/>
      <c r="M67" s="3">
        <v>20316000000</v>
      </c>
      <c r="N67">
        <v>6.14</v>
      </c>
      <c r="O67">
        <v>8.34</v>
      </c>
      <c r="P67">
        <v>11.62</v>
      </c>
      <c r="Q67">
        <v>24.43</v>
      </c>
      <c r="R67">
        <v>23.12</v>
      </c>
      <c r="S67">
        <v>1.21</v>
      </c>
      <c r="T67">
        <v>4.47</v>
      </c>
      <c r="U67">
        <v>35.549999999999997</v>
      </c>
      <c r="V67">
        <f>IF(_xll.StatIsBlank(C67),"",_xll.StatLn(C67))</f>
        <v>21.615263876251522</v>
      </c>
      <c r="W67">
        <f>IF(_xll.StatIsBlank(D67),"",_xll.StatLn(D67))</f>
        <v>23.066608922412623</v>
      </c>
    </row>
    <row r="68" spans="1:23" x14ac:dyDescent="0.25">
      <c r="A68" s="1" t="s">
        <v>86</v>
      </c>
      <c r="B68" s="28">
        <v>40117</v>
      </c>
      <c r="C68" s="3">
        <v>1050398</v>
      </c>
      <c r="D68" s="3">
        <v>14213045</v>
      </c>
      <c r="E68" s="3">
        <v>1145917</v>
      </c>
      <c r="F68" s="3">
        <v>906140</v>
      </c>
      <c r="G68" s="3">
        <v>655967</v>
      </c>
      <c r="H68" s="3">
        <v>16598200</v>
      </c>
      <c r="I68" s="3">
        <v>15769656</v>
      </c>
      <c r="J68" s="3">
        <v>1344718</v>
      </c>
      <c r="K68" s="3">
        <v>973188</v>
      </c>
      <c r="L68" s="3"/>
      <c r="M68" s="3">
        <v>15253482</v>
      </c>
      <c r="N68">
        <v>3.82</v>
      </c>
      <c r="O68">
        <v>4.18</v>
      </c>
      <c r="P68">
        <v>5.78</v>
      </c>
      <c r="Q68">
        <v>8.06</v>
      </c>
      <c r="R68">
        <v>40.340000000000003</v>
      </c>
      <c r="S68">
        <v>10.24</v>
      </c>
      <c r="T68">
        <v>16.2</v>
      </c>
      <c r="U68">
        <v>89.15</v>
      </c>
      <c r="V68">
        <f>IF(_xll.StatIsBlank(C68),"",_xll.StatLn(C68))</f>
        <v>13.864679697932353</v>
      </c>
      <c r="W68">
        <f>IF(_xll.StatIsBlank(D68),"",_xll.StatLn(D68))</f>
        <v>16.469670762831665</v>
      </c>
    </row>
    <row r="69" spans="1:23" x14ac:dyDescent="0.25">
      <c r="A69" s="1" t="s">
        <v>108</v>
      </c>
      <c r="B69" s="28">
        <v>39933</v>
      </c>
      <c r="C69" s="3">
        <v>79000</v>
      </c>
      <c r="D69" s="3">
        <v>8822000</v>
      </c>
      <c r="E69" s="3">
        <v>342000</v>
      </c>
      <c r="F69" s="3">
        <v>1485000</v>
      </c>
      <c r="G69" s="3">
        <v>516000</v>
      </c>
      <c r="H69" s="3">
        <v>26843000</v>
      </c>
      <c r="I69" s="3">
        <v>25724000</v>
      </c>
      <c r="J69" s="3">
        <v>744000</v>
      </c>
      <c r="K69" s="3">
        <v>658000</v>
      </c>
      <c r="L69" s="3"/>
      <c r="M69" s="3">
        <v>26099000</v>
      </c>
      <c r="N69">
        <v>1.87</v>
      </c>
      <c r="O69">
        <v>1.93</v>
      </c>
      <c r="P69">
        <v>5.54</v>
      </c>
      <c r="Q69">
        <v>3.88</v>
      </c>
      <c r="R69">
        <v>44.81</v>
      </c>
      <c r="S69">
        <v>8.9499999999999993</v>
      </c>
      <c r="T69">
        <v>39.090000000000003</v>
      </c>
      <c r="U69">
        <v>93.38</v>
      </c>
      <c r="V69">
        <f>IF(_xll.StatIsBlank(C69),"",_xll.StatLn(C69))</f>
        <v>11.277203131449159</v>
      </c>
      <c r="W69">
        <f>IF(_xll.StatIsBlank(D69),"",_xll.StatLn(D69))</f>
        <v>15.992759159647022</v>
      </c>
    </row>
    <row r="70" spans="1:23" x14ac:dyDescent="0.25">
      <c r="A70" s="1" t="s">
        <v>87</v>
      </c>
      <c r="B70" s="28">
        <v>39994</v>
      </c>
      <c r="C70" s="3">
        <v>452600</v>
      </c>
      <c r="D70" s="3">
        <v>5989100</v>
      </c>
      <c r="E70" s="3">
        <v>450700</v>
      </c>
      <c r="F70" s="3">
        <v>396200</v>
      </c>
      <c r="G70" s="3">
        <v>319500</v>
      </c>
      <c r="H70" s="3">
        <v>4831000</v>
      </c>
      <c r="I70" s="3">
        <v>3903600</v>
      </c>
      <c r="J70" s="3">
        <v>920500</v>
      </c>
      <c r="K70" s="3">
        <v>920500</v>
      </c>
      <c r="L70" s="3"/>
      <c r="M70" s="3">
        <v>3910500</v>
      </c>
      <c r="N70">
        <v>6.65</v>
      </c>
      <c r="O70" s="1">
        <v>8.3800000000000008</v>
      </c>
      <c r="P70">
        <v>10.39</v>
      </c>
      <c r="Q70">
        <v>7.53</v>
      </c>
      <c r="R70">
        <v>20.9</v>
      </c>
      <c r="S70">
        <v>1.68</v>
      </c>
      <c r="T70">
        <v>4.24</v>
      </c>
      <c r="U70">
        <v>61.75</v>
      </c>
      <c r="V70">
        <f>IF(_xll.StatIsBlank(C70),"",_xll.StatLn(C70))</f>
        <v>13.022764012181574</v>
      </c>
      <c r="W70">
        <f>IF(_xll.StatIsBlank(D70),"",_xll.StatLn(D70))</f>
        <v>15.605451708385544</v>
      </c>
    </row>
    <row r="71" spans="1:23" x14ac:dyDescent="0.25">
      <c r="A71" s="1" t="s">
        <v>88</v>
      </c>
      <c r="B71" s="28">
        <v>39844</v>
      </c>
      <c r="C71" s="3">
        <v>43042000</v>
      </c>
      <c r="D71" s="3">
        <v>201836000</v>
      </c>
      <c r="E71" s="3">
        <v>18494000</v>
      </c>
      <c r="F71" s="3">
        <v>10194000</v>
      </c>
      <c r="G71" s="3">
        <v>9974000</v>
      </c>
      <c r="H71" s="3">
        <v>233983000</v>
      </c>
      <c r="I71" s="3">
        <v>140814000</v>
      </c>
      <c r="J71" s="3">
        <v>61747000</v>
      </c>
      <c r="K71" s="3">
        <v>51265000</v>
      </c>
      <c r="L71" s="3"/>
      <c r="M71" s="3">
        <v>172236000</v>
      </c>
      <c r="N71">
        <v>4.4000000000000004</v>
      </c>
      <c r="O71">
        <v>5.89</v>
      </c>
      <c r="P71">
        <v>6.02</v>
      </c>
      <c r="Q71">
        <v>9.16</v>
      </c>
      <c r="R71">
        <v>5.08</v>
      </c>
      <c r="S71">
        <v>2.12</v>
      </c>
      <c r="T71">
        <v>2.75</v>
      </c>
      <c r="U71">
        <v>38.270000000000003</v>
      </c>
      <c r="V71">
        <f>IF(_xll.StatIsBlank(C71),"",_xll.StatLn(C71))</f>
        <v>17.577686941139667</v>
      </c>
      <c r="W71">
        <f>IF(_xll.StatIsBlank(D71),"",_xll.StatLn(D71))</f>
        <v>19.122966044423336</v>
      </c>
    </row>
    <row r="72" spans="1:23" x14ac:dyDescent="0.25">
      <c r="A72" s="1" t="s">
        <v>89</v>
      </c>
      <c r="B72" s="28">
        <v>39838</v>
      </c>
      <c r="C72" s="3">
        <v>41405000</v>
      </c>
      <c r="D72" s="3">
        <v>294820000</v>
      </c>
      <c r="E72" s="3">
        <v>47704000</v>
      </c>
      <c r="F72" s="3">
        <v>41891000</v>
      </c>
      <c r="G72" s="3">
        <v>37521000</v>
      </c>
      <c r="H72" s="3">
        <v>420795000</v>
      </c>
      <c r="I72" s="3">
        <v>313702000</v>
      </c>
      <c r="J72" s="3">
        <v>42775000</v>
      </c>
      <c r="K72" s="3">
        <v>33815000</v>
      </c>
      <c r="L72" s="3"/>
      <c r="M72" s="3">
        <v>378020000</v>
      </c>
      <c r="N72">
        <v>9.2100000000000009</v>
      </c>
      <c r="O72">
        <v>10.35</v>
      </c>
      <c r="P72">
        <v>11.56</v>
      </c>
      <c r="Q72">
        <v>16.18</v>
      </c>
      <c r="R72">
        <v>18.75</v>
      </c>
      <c r="S72">
        <v>5.18</v>
      </c>
      <c r="T72">
        <v>9.2799999999999994</v>
      </c>
      <c r="U72">
        <v>66.510000000000005</v>
      </c>
      <c r="V72">
        <f>IF(_xll.StatIsBlank(C72),"",_xll.StatLn(C72))</f>
        <v>17.538912204449936</v>
      </c>
      <c r="W72">
        <f>IF(_xll.StatIsBlank(D72),"",_xll.StatLn(D72))</f>
        <v>19.501875558583407</v>
      </c>
    </row>
    <row r="73" spans="1:23" x14ac:dyDescent="0.25">
      <c r="A73" s="1" t="s">
        <v>90</v>
      </c>
      <c r="B73" s="28">
        <v>39844</v>
      </c>
      <c r="C73" s="3">
        <v>43558000</v>
      </c>
      <c r="D73" s="3">
        <v>209160000</v>
      </c>
      <c r="E73" s="3">
        <v>35517000</v>
      </c>
      <c r="F73" s="3">
        <v>25619000</v>
      </c>
      <c r="G73" s="3">
        <v>26423000</v>
      </c>
      <c r="H73" s="3">
        <v>330947000</v>
      </c>
      <c r="I73" s="3">
        <v>193810000</v>
      </c>
      <c r="J73" s="3">
        <v>25697000</v>
      </c>
      <c r="K73" s="3">
        <v>18481000</v>
      </c>
      <c r="L73" s="3"/>
      <c r="M73" s="3">
        <v>305250000</v>
      </c>
      <c r="N73">
        <v>7.46</v>
      </c>
      <c r="O73">
        <v>8.14</v>
      </c>
      <c r="P73">
        <v>7.89</v>
      </c>
      <c r="Q73">
        <v>16.98</v>
      </c>
      <c r="R73">
        <v>15.63</v>
      </c>
      <c r="S73">
        <v>6.58</v>
      </c>
      <c r="T73">
        <v>10.49</v>
      </c>
      <c r="U73">
        <v>52.98</v>
      </c>
      <c r="V73">
        <f>IF(_xll.StatIsBlank(C73),"",_xll.StatLn(C73))</f>
        <v>17.58960394129269</v>
      </c>
      <c r="W73">
        <f>IF(_xll.StatIsBlank(D73),"",_xll.StatLn(D73))</f>
        <v>19.158610067284204</v>
      </c>
    </row>
    <row r="74" spans="1:23" x14ac:dyDescent="0.25">
      <c r="A74" s="1" t="s">
        <v>91</v>
      </c>
      <c r="B74" s="28">
        <v>40088</v>
      </c>
      <c r="C74" s="3">
        <v>123996000</v>
      </c>
      <c r="D74" s="3">
        <v>802577000</v>
      </c>
      <c r="E74" s="3">
        <v>119921000</v>
      </c>
      <c r="F74" s="3">
        <v>71703000</v>
      </c>
      <c r="G74" s="3">
        <v>93289000</v>
      </c>
      <c r="H74" s="3">
        <v>1355326000</v>
      </c>
      <c r="I74" s="3">
        <v>590127000</v>
      </c>
      <c r="J74" s="3">
        <v>250197000</v>
      </c>
      <c r="K74" s="3">
        <v>196995000</v>
      </c>
      <c r="L74" s="3">
        <v>47116000</v>
      </c>
      <c r="M74" s="3">
        <v>1105129000</v>
      </c>
      <c r="N74">
        <v>7.22</v>
      </c>
      <c r="O74">
        <v>9.1300000000000008</v>
      </c>
      <c r="P74">
        <v>6.08</v>
      </c>
      <c r="Q74">
        <v>14.94</v>
      </c>
      <c r="R74">
        <v>-41.89</v>
      </c>
      <c r="S74">
        <v>2.4300000000000002</v>
      </c>
      <c r="T74">
        <v>3</v>
      </c>
      <c r="U74">
        <v>29.01</v>
      </c>
      <c r="V74">
        <f>IF(_xll.StatIsBlank(C74),"",_xll.StatLn(C74))</f>
        <v>18.635759864984493</v>
      </c>
      <c r="W74">
        <f>IF(_xll.StatIsBlank(D74),"",_xll.StatLn(D74))</f>
        <v>20.503338358521287</v>
      </c>
    </row>
    <row r="75" spans="1:23" x14ac:dyDescent="0.25">
      <c r="A75" s="1" t="s">
        <v>92</v>
      </c>
      <c r="B75" s="28">
        <v>39994</v>
      </c>
      <c r="C75" s="3">
        <v>34514000</v>
      </c>
      <c r="D75" s="3">
        <v>505609000</v>
      </c>
      <c r="E75" s="3">
        <v>26906000</v>
      </c>
      <c r="F75" s="3">
        <v>23253000</v>
      </c>
      <c r="G75" s="3">
        <v>16107000</v>
      </c>
      <c r="H75" s="3">
        <v>283135000</v>
      </c>
      <c r="I75" s="3">
        <v>220018000</v>
      </c>
      <c r="J75" s="3">
        <v>104513000</v>
      </c>
      <c r="K75" s="3">
        <v>89031000</v>
      </c>
      <c r="L75" s="3">
        <v>9741000</v>
      </c>
      <c r="M75" s="3">
        <v>178622000</v>
      </c>
      <c r="N75">
        <v>5.88</v>
      </c>
      <c r="O75">
        <v>9.75</v>
      </c>
      <c r="P75">
        <v>13.25</v>
      </c>
      <c r="Q75">
        <v>5.32</v>
      </c>
      <c r="R75">
        <v>29.35</v>
      </c>
      <c r="S75">
        <v>1.3</v>
      </c>
      <c r="T75">
        <v>2.4700000000000002</v>
      </c>
      <c r="U75">
        <v>46.26</v>
      </c>
      <c r="V75">
        <f>IF(_xll.StatIsBlank(C75),"",_xll.StatLn(C75))</f>
        <v>17.35687559678966</v>
      </c>
      <c r="W75">
        <f>IF(_xll.StatIsBlank(D75),"",_xll.StatLn(D75))</f>
        <v>20.041274201271403</v>
      </c>
    </row>
    <row r="76" spans="1:23" x14ac:dyDescent="0.25">
      <c r="A76" s="1" t="s">
        <v>93</v>
      </c>
      <c r="B76" s="28">
        <v>39900</v>
      </c>
      <c r="C76" s="3">
        <v>14553000</v>
      </c>
      <c r="D76" s="3">
        <v>78810000</v>
      </c>
      <c r="E76" s="3">
        <v>15954000</v>
      </c>
      <c r="F76" s="3">
        <v>13994000</v>
      </c>
      <c r="G76" s="3">
        <v>12545000</v>
      </c>
      <c r="H76" s="3">
        <v>190304000</v>
      </c>
      <c r="I76" s="3">
        <v>95220000</v>
      </c>
      <c r="J76" s="3">
        <v>22728000</v>
      </c>
      <c r="K76" s="3">
        <v>17889000</v>
      </c>
      <c r="L76" s="3"/>
      <c r="M76" s="3">
        <v>167576000</v>
      </c>
      <c r="N76">
        <v>6.84</v>
      </c>
      <c r="O76">
        <v>7.88</v>
      </c>
      <c r="P76">
        <v>8.7899999999999991</v>
      </c>
      <c r="Q76">
        <v>20.239999999999998</v>
      </c>
      <c r="R76">
        <v>20.43</v>
      </c>
      <c r="S76">
        <v>1.81</v>
      </c>
      <c r="T76">
        <v>5.32</v>
      </c>
      <c r="U76">
        <v>40.64</v>
      </c>
      <c r="V76">
        <f>IF(_xll.StatIsBlank(C76),"",_xll.StatLn(C76))</f>
        <v>16.493307715895462</v>
      </c>
      <c r="W76">
        <f>IF(_xll.StatIsBlank(D76),"",_xll.StatLn(D76))</f>
        <v>18.182550450329831</v>
      </c>
    </row>
    <row r="77" spans="1:23" x14ac:dyDescent="0.25">
      <c r="A77" s="1" t="s">
        <v>94</v>
      </c>
      <c r="B77" s="28">
        <v>40025</v>
      </c>
      <c r="C77" s="3">
        <v>2998000</v>
      </c>
      <c r="D77" s="3">
        <v>52965000</v>
      </c>
      <c r="E77" s="3">
        <v>4185000</v>
      </c>
      <c r="F77" s="3">
        <v>3125000</v>
      </c>
      <c r="G77" s="3">
        <v>1595000</v>
      </c>
      <c r="H77" s="3">
        <v>58080000</v>
      </c>
      <c r="I77" s="3">
        <v>25358000</v>
      </c>
      <c r="J77" s="3">
        <v>19950000</v>
      </c>
      <c r="K77" s="3">
        <v>11948000</v>
      </c>
      <c r="L77" s="3">
        <v>6079000</v>
      </c>
      <c r="M77" s="3">
        <v>38130000</v>
      </c>
      <c r="N77">
        <v>2.74</v>
      </c>
      <c r="O77">
        <v>4.28</v>
      </c>
      <c r="P77">
        <v>6.19</v>
      </c>
      <c r="Q77">
        <v>7.9</v>
      </c>
      <c r="R77">
        <v>32.700000000000003</v>
      </c>
      <c r="S77">
        <v>0.78</v>
      </c>
      <c r="T77">
        <v>2.12</v>
      </c>
      <c r="U77">
        <v>23.09</v>
      </c>
      <c r="V77">
        <f>IF(_xll.StatIsBlank(C77),"",_xll.StatLn(C77))</f>
        <v>14.913455957644681</v>
      </c>
      <c r="W77">
        <f>IF(_xll.StatIsBlank(D77),"",_xll.StatLn(D77))</f>
        <v>17.785141876012734</v>
      </c>
    </row>
    <row r="78" spans="1:23" x14ac:dyDescent="0.25">
      <c r="A78" s="1" t="s">
        <v>95</v>
      </c>
      <c r="B78" s="28">
        <v>40082</v>
      </c>
      <c r="C78" s="3">
        <v>1888953</v>
      </c>
      <c r="D78" s="3">
        <v>7751858</v>
      </c>
      <c r="E78" s="3">
        <v>582429</v>
      </c>
      <c r="F78" s="3">
        <v>423137</v>
      </c>
      <c r="G78" s="3">
        <v>942808</v>
      </c>
      <c r="H78" s="3">
        <v>9322276</v>
      </c>
      <c r="I78" s="3">
        <v>8982769</v>
      </c>
      <c r="J78" s="3">
        <v>2609618</v>
      </c>
      <c r="K78" s="3">
        <v>2609618</v>
      </c>
      <c r="L78" s="3"/>
      <c r="M78" s="3">
        <v>6712658</v>
      </c>
      <c r="N78">
        <v>11.79</v>
      </c>
      <c r="O78" s="1">
        <v>15.26</v>
      </c>
      <c r="P78" s="1">
        <v>6.85</v>
      </c>
      <c r="Q78">
        <v>7.51</v>
      </c>
      <c r="R78">
        <v>-103.67</v>
      </c>
      <c r="S78">
        <v>2.23</v>
      </c>
      <c r="T78">
        <v>3.44</v>
      </c>
      <c r="U78">
        <v>68.36</v>
      </c>
      <c r="V78">
        <f>IF(_xll.StatIsBlank(C78),"",_xll.StatLn(C78))</f>
        <v>14.451533265284752</v>
      </c>
      <c r="W78">
        <f>IF(_xll.StatIsBlank(D78),"",_xll.StatLn(D78))</f>
        <v>15.863443114531508</v>
      </c>
    </row>
    <row r="79" spans="1:23" x14ac:dyDescent="0.25">
      <c r="A79" s="1" t="s">
        <v>96</v>
      </c>
      <c r="B79" s="28">
        <v>39903</v>
      </c>
      <c r="C79" s="3">
        <v>2948356</v>
      </c>
      <c r="D79" s="3">
        <v>13075942</v>
      </c>
      <c r="E79" s="3">
        <v>510317</v>
      </c>
      <c r="F79" s="3">
        <v>323626</v>
      </c>
      <c r="G79" s="3">
        <v>196237</v>
      </c>
      <c r="H79" s="3">
        <v>7505389</v>
      </c>
      <c r="I79" s="3">
        <v>6142741</v>
      </c>
      <c r="J79" s="3">
        <v>2901869</v>
      </c>
      <c r="K79" s="3">
        <v>2858626</v>
      </c>
      <c r="L79" s="3"/>
      <c r="M79" s="3">
        <v>4603520</v>
      </c>
      <c r="N79">
        <v>2.68</v>
      </c>
      <c r="O79">
        <v>4.45</v>
      </c>
      <c r="P79">
        <v>6.73</v>
      </c>
      <c r="Q79">
        <v>3.9</v>
      </c>
      <c r="R79">
        <v>53.73</v>
      </c>
      <c r="S79">
        <v>1.18</v>
      </c>
      <c r="T79">
        <v>2.15</v>
      </c>
      <c r="U79">
        <v>43.76</v>
      </c>
      <c r="V79">
        <f>IF(_xll.StatIsBlank(C79),"",_xll.StatLn(C79))</f>
        <v>14.896758284837659</v>
      </c>
      <c r="W79">
        <f>IF(_xll.StatIsBlank(D79),"",_xll.StatLn(D79))</f>
        <v>16.386284611209181</v>
      </c>
    </row>
    <row r="80" spans="1:23" x14ac:dyDescent="0.25">
      <c r="A80" s="1" t="s">
        <v>97</v>
      </c>
      <c r="B80" s="28">
        <v>40086</v>
      </c>
      <c r="C80" s="3">
        <v>4783000</v>
      </c>
      <c r="D80" s="3">
        <v>47194000</v>
      </c>
      <c r="E80" s="3">
        <v>3139000</v>
      </c>
      <c r="F80" s="3">
        <v>2031000</v>
      </c>
      <c r="G80" s="3">
        <v>1866000</v>
      </c>
      <c r="H80" s="3">
        <v>40325000</v>
      </c>
      <c r="I80" s="3">
        <v>33569000</v>
      </c>
      <c r="J80" s="3">
        <v>4903000</v>
      </c>
      <c r="K80" s="3">
        <v>4903000</v>
      </c>
      <c r="L80" s="3"/>
      <c r="M80" s="3">
        <v>35422000</v>
      </c>
      <c r="N80">
        <v>4.2300000000000004</v>
      </c>
      <c r="O80">
        <v>4.9400000000000004</v>
      </c>
      <c r="P80">
        <v>5.37</v>
      </c>
      <c r="Q80">
        <v>6.65</v>
      </c>
      <c r="R80">
        <v>2.77</v>
      </c>
      <c r="S80">
        <v>5.2</v>
      </c>
      <c r="T80">
        <v>6.85</v>
      </c>
      <c r="U80">
        <v>71.09</v>
      </c>
      <c r="V80">
        <f>IF(_xll.StatIsBlank(C80),"",_xll.StatLn(C80))</f>
        <v>15.380578522662434</v>
      </c>
      <c r="W80">
        <f>IF(_xll.StatIsBlank(D80),"",_xll.StatLn(D80))</f>
        <v>17.669777323831457</v>
      </c>
    </row>
    <row r="81" spans="1:23" x14ac:dyDescent="0.25">
      <c r="A81" s="1" t="s">
        <v>98</v>
      </c>
      <c r="B81" s="28">
        <v>39933</v>
      </c>
      <c r="C81" s="3">
        <v>331000</v>
      </c>
      <c r="D81" s="3">
        <v>7205000</v>
      </c>
      <c r="E81" s="3">
        <v>462000</v>
      </c>
      <c r="F81" s="3">
        <v>360000</v>
      </c>
      <c r="G81" s="3">
        <v>303000</v>
      </c>
      <c r="H81" s="3">
        <v>3026000</v>
      </c>
      <c r="I81" s="3">
        <v>2056000</v>
      </c>
      <c r="J81" s="3">
        <v>1057000</v>
      </c>
      <c r="K81" s="3">
        <v>469000</v>
      </c>
      <c r="L81" s="3">
        <v>588000</v>
      </c>
      <c r="M81" s="3">
        <v>1969000</v>
      </c>
      <c r="N81">
        <v>10.43</v>
      </c>
      <c r="O81">
        <v>17.25</v>
      </c>
      <c r="P81">
        <v>14.72</v>
      </c>
      <c r="Q81">
        <v>6.41</v>
      </c>
      <c r="S81">
        <v>2.59</v>
      </c>
      <c r="T81">
        <v>4.38</v>
      </c>
      <c r="U81">
        <v>52.45</v>
      </c>
      <c r="V81">
        <f>IF(_xll.StatIsBlank(C81),"",_xll.StatLn(C81))</f>
        <v>12.7098736543592</v>
      </c>
      <c r="W81">
        <f>IF(_xll.StatIsBlank(D81),"",_xll.StatLn(D81))</f>
        <v>15.79028578741576</v>
      </c>
    </row>
    <row r="82" spans="1:23" x14ac:dyDescent="0.25">
      <c r="A82" s="1" t="s">
        <v>99</v>
      </c>
      <c r="B82" s="28">
        <v>40088</v>
      </c>
      <c r="C82" s="3">
        <v>147375000</v>
      </c>
      <c r="D82" s="3">
        <v>2214060000</v>
      </c>
      <c r="E82" s="3">
        <v>518755000</v>
      </c>
      <c r="F82" s="3">
        <v>474146000</v>
      </c>
      <c r="G82" s="3">
        <v>319022000</v>
      </c>
      <c r="H82" s="3">
        <v>2308248000</v>
      </c>
      <c r="I82" s="3">
        <v>1672451000</v>
      </c>
      <c r="J82" s="3">
        <v>996465000</v>
      </c>
      <c r="K82" s="3">
        <v>842320000</v>
      </c>
      <c r="L82" s="3">
        <v>23394000</v>
      </c>
      <c r="M82" s="3">
        <v>1311783000</v>
      </c>
      <c r="N82">
        <v>14.65</v>
      </c>
      <c r="O82">
        <v>26.84</v>
      </c>
      <c r="P82">
        <v>38.61</v>
      </c>
      <c r="Q82">
        <v>23.43</v>
      </c>
      <c r="R82">
        <v>30.16</v>
      </c>
      <c r="S82">
        <v>1.35</v>
      </c>
      <c r="T82">
        <v>1.99</v>
      </c>
      <c r="U82">
        <v>35.96</v>
      </c>
      <c r="V82">
        <f>IF(_xll.StatIsBlank(C82),"",_xll.StatLn(C82))</f>
        <v>18.80849091682181</v>
      </c>
      <c r="W82">
        <f>IF(_xll.StatIsBlank(D82),"",_xll.StatLn(D82))</f>
        <v>21.518093771136652</v>
      </c>
    </row>
    <row r="83" spans="1:23" x14ac:dyDescent="0.25">
      <c r="A83" s="1" t="s">
        <v>100</v>
      </c>
      <c r="B83" s="28">
        <v>40088</v>
      </c>
      <c r="C83" s="3">
        <v>56425000</v>
      </c>
      <c r="D83" s="3">
        <v>806744000</v>
      </c>
      <c r="E83" s="3">
        <v>78683000</v>
      </c>
      <c r="F83" s="3">
        <v>58983000</v>
      </c>
      <c r="G83" s="3">
        <v>38620000</v>
      </c>
      <c r="H83" s="3">
        <v>944187000</v>
      </c>
      <c r="I83" s="3">
        <v>559847000</v>
      </c>
      <c r="J83" s="3">
        <v>305916000</v>
      </c>
      <c r="K83" s="3">
        <v>249656000</v>
      </c>
      <c r="L83" s="3">
        <v>12500000</v>
      </c>
      <c r="M83" s="3">
        <v>638271000</v>
      </c>
      <c r="N83">
        <v>4.1900000000000004</v>
      </c>
      <c r="O83">
        <v>6.32</v>
      </c>
      <c r="P83">
        <v>9.36</v>
      </c>
      <c r="Q83">
        <v>9.75</v>
      </c>
      <c r="R83">
        <v>34.71</v>
      </c>
      <c r="S83">
        <v>1.48</v>
      </c>
      <c r="T83">
        <v>2.2400000000000002</v>
      </c>
      <c r="U83">
        <v>32.85</v>
      </c>
      <c r="V83">
        <f>IF(_xll.StatIsBlank(C83),"",_xll.StatLn(C83))</f>
        <v>17.848422880667872</v>
      </c>
      <c r="W83">
        <f>IF(_xll.StatIsBlank(D83),"",_xll.StatLn(D83))</f>
        <v>20.508516951620472</v>
      </c>
    </row>
    <row r="84" spans="1:23" x14ac:dyDescent="0.25">
      <c r="A84" s="1" t="s">
        <v>101</v>
      </c>
      <c r="B84" s="28">
        <v>39906</v>
      </c>
      <c r="C84" s="3">
        <v>29622000</v>
      </c>
      <c r="D84" s="3">
        <v>628179000</v>
      </c>
      <c r="E84" s="3">
        <v>64045000</v>
      </c>
      <c r="F84" s="3">
        <v>44287000</v>
      </c>
      <c r="G84" s="3">
        <v>38331000</v>
      </c>
      <c r="H84" s="3">
        <v>622942000</v>
      </c>
      <c r="I84" s="3">
        <v>338824000</v>
      </c>
      <c r="J84" s="3">
        <v>164194000</v>
      </c>
      <c r="K84" s="3">
        <v>135434000</v>
      </c>
      <c r="L84" s="3"/>
      <c r="M84" s="3">
        <v>458748000</v>
      </c>
      <c r="N84">
        <v>6.42</v>
      </c>
      <c r="O84">
        <v>8.74</v>
      </c>
      <c r="P84">
        <v>10.1</v>
      </c>
      <c r="Q84">
        <v>10.199999999999999</v>
      </c>
      <c r="R84">
        <v>15.02</v>
      </c>
      <c r="S84">
        <v>1.68</v>
      </c>
      <c r="T84">
        <v>2.5</v>
      </c>
      <c r="U84">
        <v>32.65</v>
      </c>
      <c r="V84">
        <f>IF(_xll.StatIsBlank(C84),"",_xll.StatLn(C84))</f>
        <v>17.204027886469056</v>
      </c>
      <c r="W84">
        <f>IF(_xll.StatIsBlank(D84),"",_xll.StatLn(D84))</f>
        <v>20.258335715665748</v>
      </c>
    </row>
    <row r="85" spans="1:23" x14ac:dyDescent="0.25">
      <c r="A85" s="1" t="s">
        <v>102</v>
      </c>
      <c r="B85" s="28">
        <v>39997</v>
      </c>
      <c r="C85" s="3">
        <v>509000000</v>
      </c>
      <c r="D85" s="3">
        <v>7453000000</v>
      </c>
      <c r="E85" s="3">
        <v>998000000</v>
      </c>
      <c r="F85" s="3">
        <v>519000000</v>
      </c>
      <c r="G85" s="3">
        <v>470000000</v>
      </c>
      <c r="H85" s="3">
        <v>5291000000</v>
      </c>
      <c r="I85" s="3">
        <v>3230000000</v>
      </c>
      <c r="J85" s="3">
        <v>2099000000</v>
      </c>
      <c r="K85" s="3">
        <v>1525000000</v>
      </c>
      <c r="L85" s="3">
        <v>400000000</v>
      </c>
      <c r="M85" s="3">
        <v>3192000000</v>
      </c>
      <c r="N85">
        <v>9.1</v>
      </c>
      <c r="O85">
        <v>15.71</v>
      </c>
      <c r="P85">
        <v>14.85</v>
      </c>
      <c r="Q85">
        <v>13.39</v>
      </c>
      <c r="R85">
        <v>6.19</v>
      </c>
      <c r="S85">
        <v>1.78</v>
      </c>
      <c r="T85">
        <v>2.12</v>
      </c>
      <c r="U85">
        <v>32.22</v>
      </c>
      <c r="V85">
        <f>IF(_xll.StatIsBlank(C85),"",_xll.StatLn(C85))</f>
        <v>20.047958574514798</v>
      </c>
      <c r="W85">
        <f>IF(_xll.StatIsBlank(D85),"",_xll.StatLn(D85))</f>
        <v>22.731882472845967</v>
      </c>
    </row>
    <row r="86" spans="1:23" x14ac:dyDescent="0.25">
      <c r="A86" s="1" t="s">
        <v>103</v>
      </c>
      <c r="B86" s="28">
        <v>40086</v>
      </c>
      <c r="C86" s="3">
        <v>4408000</v>
      </c>
      <c r="D86" s="3">
        <v>62559000</v>
      </c>
      <c r="E86" s="3">
        <v>6573000</v>
      </c>
      <c r="F86" s="3">
        <v>3773000</v>
      </c>
      <c r="G86" s="3">
        <v>2029000</v>
      </c>
      <c r="H86" s="3">
        <v>111597000</v>
      </c>
      <c r="I86" s="3">
        <v>96193000</v>
      </c>
      <c r="J86" s="3">
        <v>9707000</v>
      </c>
      <c r="K86" s="3">
        <v>8518000</v>
      </c>
      <c r="L86" s="3"/>
      <c r="M86" s="3">
        <v>101890000</v>
      </c>
      <c r="N86">
        <v>1.8</v>
      </c>
      <c r="O86">
        <v>2.0099999999999998</v>
      </c>
      <c r="P86">
        <v>3.73</v>
      </c>
      <c r="Q86">
        <v>10.51</v>
      </c>
      <c r="R86">
        <v>28.9</v>
      </c>
      <c r="S86">
        <v>8.7200000000000006</v>
      </c>
      <c r="T86">
        <v>11.29</v>
      </c>
      <c r="U86">
        <v>78.56</v>
      </c>
      <c r="V86">
        <f>IF(_xll.StatIsBlank(C86),"",_xll.StatLn(C86))</f>
        <v>15.298931629814888</v>
      </c>
      <c r="W86">
        <f>IF(_xll.StatIsBlank(D86),"",_xll.StatLn(D86))</f>
        <v>17.951620669418844</v>
      </c>
    </row>
    <row r="87" spans="1:23" x14ac:dyDescent="0.25">
      <c r="A87" s="1" t="s">
        <v>104</v>
      </c>
      <c r="B87" s="28">
        <v>39900</v>
      </c>
      <c r="C87" s="3">
        <v>355392000</v>
      </c>
      <c r="D87" s="3">
        <v>1825184000</v>
      </c>
      <c r="E87" s="3">
        <v>540507000</v>
      </c>
      <c r="F87" s="3">
        <v>429518000</v>
      </c>
      <c r="G87" s="3">
        <v>375640000</v>
      </c>
      <c r="H87" s="3">
        <v>2825515000</v>
      </c>
      <c r="I87" s="3">
        <v>1752468000</v>
      </c>
      <c r="J87" s="3">
        <v>1087615000</v>
      </c>
      <c r="K87" s="3">
        <v>233066000</v>
      </c>
      <c r="L87" s="3">
        <v>690125000</v>
      </c>
      <c r="M87" s="3">
        <v>1737900000</v>
      </c>
      <c r="N87">
        <v>12.63</v>
      </c>
      <c r="O87">
        <v>22.09</v>
      </c>
      <c r="P87">
        <v>16.89</v>
      </c>
      <c r="Q87">
        <v>29.61</v>
      </c>
      <c r="R87">
        <v>24.6</v>
      </c>
      <c r="S87">
        <v>5.5</v>
      </c>
      <c r="T87">
        <v>7.52</v>
      </c>
      <c r="U87">
        <v>53.77</v>
      </c>
      <c r="V87">
        <f>IF(_xll.StatIsBlank(C87),"",_xll.StatLn(C87))</f>
        <v>19.688731963583415</v>
      </c>
      <c r="W87">
        <f>IF(_xll.StatIsBlank(D87),"",_xll.StatLn(D87))</f>
        <v>21.324946640816485</v>
      </c>
    </row>
    <row r="88" spans="1:23" x14ac:dyDescent="0.25">
      <c r="A88" s="1" t="s">
        <v>105</v>
      </c>
      <c r="B88" s="28">
        <v>40083</v>
      </c>
      <c r="C88" s="3">
        <v>39474000</v>
      </c>
      <c r="D88" s="3">
        <v>385185000</v>
      </c>
      <c r="E88" s="3">
        <v>27874000</v>
      </c>
      <c r="F88" s="3">
        <v>11614000</v>
      </c>
      <c r="G88" s="3">
        <v>9564000</v>
      </c>
      <c r="H88" s="3">
        <v>371847000</v>
      </c>
      <c r="I88" s="3">
        <v>230119000</v>
      </c>
      <c r="J88" s="3">
        <v>91289000</v>
      </c>
      <c r="K88" s="3">
        <v>73489000</v>
      </c>
      <c r="L88" s="3"/>
      <c r="M88" s="3">
        <v>280558000</v>
      </c>
      <c r="N88">
        <v>2.67</v>
      </c>
      <c r="O88">
        <v>3.5</v>
      </c>
      <c r="P88">
        <v>4.25</v>
      </c>
      <c r="Q88">
        <v>7.24</v>
      </c>
      <c r="R88">
        <v>28.53</v>
      </c>
      <c r="S88">
        <v>1.79</v>
      </c>
      <c r="T88">
        <v>3.13</v>
      </c>
      <c r="U88">
        <v>42.12</v>
      </c>
      <c r="V88">
        <f>IF(_xll.StatIsBlank(C88),"",_xll.StatLn(C88))</f>
        <v>17.49115278529619</v>
      </c>
      <c r="W88">
        <f>IF(_xll.StatIsBlank(D88),"",_xll.StatLn(D88))</f>
        <v>19.769234296320064</v>
      </c>
    </row>
    <row r="89" spans="1:23" x14ac:dyDescent="0.25">
      <c r="C89" s="3"/>
      <c r="D89" s="3"/>
      <c r="E89" s="3"/>
      <c r="F89" s="3"/>
      <c r="G89" s="3"/>
      <c r="H89" s="3"/>
      <c r="I89" s="3"/>
      <c r="J89" s="3"/>
      <c r="K89" s="3"/>
      <c r="L89" s="3"/>
      <c r="M89" s="3"/>
    </row>
    <row r="90" spans="1:23" x14ac:dyDescent="0.25">
      <c r="C90" s="3"/>
      <c r="D90" s="3"/>
      <c r="E90" s="3"/>
      <c r="F90" s="3"/>
      <c r="G90" s="3"/>
      <c r="H90" s="3"/>
      <c r="I90" s="3"/>
      <c r="J90" s="3"/>
      <c r="K90" s="3"/>
      <c r="L90" s="3"/>
      <c r="M90" s="3"/>
    </row>
    <row r="91" spans="1:23" x14ac:dyDescent="0.25">
      <c r="C91" s="3"/>
      <c r="D91" s="3"/>
      <c r="E91" s="3"/>
      <c r="F91" s="3"/>
      <c r="G91" s="3"/>
      <c r="H91" s="3"/>
      <c r="I91" s="3"/>
      <c r="J91" s="3"/>
      <c r="K91" s="3"/>
      <c r="L91" s="3"/>
      <c r="M91" s="3"/>
    </row>
  </sheetData>
  <sortState ref="A4:AQ88">
    <sortCondition ref="A3"/>
  </sortState>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
  <sheetViews>
    <sheetView workbookViewId="0"/>
  </sheetViews>
  <sheetFormatPr defaultColWidth="30.7109375" defaultRowHeight="15" x14ac:dyDescent="0.25"/>
  <cols>
    <col min="1" max="1" width="30.7109375" style="8"/>
    <col min="2" max="16384" width="30.7109375" style="7"/>
  </cols>
  <sheetData>
    <row r="1" spans="1:20" x14ac:dyDescent="0.25">
      <c r="A1" s="8" t="s">
        <v>119</v>
      </c>
      <c r="B1" s="7" t="s">
        <v>120</v>
      </c>
      <c r="C1" s="7" t="s">
        <v>110</v>
      </c>
      <c r="D1" s="7">
        <v>5</v>
      </c>
      <c r="E1" s="7" t="s">
        <v>111</v>
      </c>
      <c r="F1" s="7">
        <v>5</v>
      </c>
      <c r="G1" s="7" t="s">
        <v>112</v>
      </c>
      <c r="H1" s="7">
        <v>0</v>
      </c>
      <c r="I1" s="7" t="s">
        <v>113</v>
      </c>
      <c r="J1" s="7">
        <v>1</v>
      </c>
      <c r="K1" s="7" t="s">
        <v>114</v>
      </c>
      <c r="L1" s="7">
        <v>0</v>
      </c>
      <c r="M1" s="7" t="s">
        <v>115</v>
      </c>
      <c r="N1" s="7">
        <v>0</v>
      </c>
      <c r="O1" s="7" t="s">
        <v>116</v>
      </c>
      <c r="P1" s="7">
        <v>1</v>
      </c>
      <c r="Q1" s="7" t="s">
        <v>117</v>
      </c>
      <c r="R1" s="7">
        <v>0</v>
      </c>
      <c r="S1" s="7" t="s">
        <v>118</v>
      </c>
      <c r="T1" s="7">
        <v>0</v>
      </c>
    </row>
    <row r="2" spans="1:20" x14ac:dyDescent="0.25">
      <c r="A2" s="8" t="s">
        <v>121</v>
      </c>
      <c r="B2" s="7" t="s">
        <v>122</v>
      </c>
    </row>
    <row r="3" spans="1:20" x14ac:dyDescent="0.25">
      <c r="A3" s="8" t="s">
        <v>123</v>
      </c>
      <c r="B3" s="7" t="b">
        <f>IF(B10&gt;256,"TripUpST110AndEarlier",FALSE)</f>
        <v>0</v>
      </c>
    </row>
    <row r="4" spans="1:20" x14ac:dyDescent="0.25">
      <c r="A4" s="8" t="s">
        <v>124</v>
      </c>
      <c r="B4" s="7" t="s">
        <v>125</v>
      </c>
    </row>
    <row r="5" spans="1:20" x14ac:dyDescent="0.25">
      <c r="A5" s="8" t="s">
        <v>126</v>
      </c>
      <c r="B5" s="7" t="b">
        <v>1</v>
      </c>
    </row>
    <row r="6" spans="1:20" x14ac:dyDescent="0.25">
      <c r="A6" s="8" t="s">
        <v>127</v>
      </c>
      <c r="B6" s="7" t="b">
        <v>1</v>
      </c>
    </row>
    <row r="7" spans="1:20" x14ac:dyDescent="0.25">
      <c r="A7" s="8" t="s">
        <v>128</v>
      </c>
      <c r="B7" s="7">
        <f>Data!$A$3:$W$88</f>
        <v>39903</v>
      </c>
    </row>
    <row r="8" spans="1:20" x14ac:dyDescent="0.25">
      <c r="A8" s="8" t="s">
        <v>129</v>
      </c>
      <c r="B8" s="7">
        <v>1</v>
      </c>
    </row>
    <row r="9" spans="1:20" x14ac:dyDescent="0.25">
      <c r="A9" s="8" t="s">
        <v>130</v>
      </c>
      <c r="B9" s="7">
        <f>1</f>
        <v>1</v>
      </c>
    </row>
    <row r="10" spans="1:20" x14ac:dyDescent="0.25">
      <c r="A10" s="8" t="s">
        <v>131</v>
      </c>
      <c r="B10" s="7">
        <v>23</v>
      </c>
    </row>
    <row r="12" spans="1:20" x14ac:dyDescent="0.25">
      <c r="A12" s="8" t="s">
        <v>132</v>
      </c>
      <c r="B12" s="7" t="s">
        <v>133</v>
      </c>
      <c r="C12" s="7" t="s">
        <v>134</v>
      </c>
      <c r="D12" s="7" t="s">
        <v>135</v>
      </c>
      <c r="E12" s="7" t="b">
        <v>1</v>
      </c>
      <c r="F12" s="7">
        <v>1</v>
      </c>
      <c r="G12" s="7">
        <v>2</v>
      </c>
    </row>
    <row r="13" spans="1:20" x14ac:dyDescent="0.25">
      <c r="A13" s="8" t="s">
        <v>136</v>
      </c>
      <c r="B13" s="7" t="str">
        <f>Data!$A$3:$A$88</f>
        <v>Astro-Med, Inc.</v>
      </c>
    </row>
    <row r="14" spans="1:20" x14ac:dyDescent="0.25">
      <c r="A14" s="8" t="s">
        <v>137</v>
      </c>
    </row>
    <row r="15" spans="1:20" x14ac:dyDescent="0.25">
      <c r="A15" s="8" t="s">
        <v>138</v>
      </c>
      <c r="B15" s="7" t="s">
        <v>139</v>
      </c>
      <c r="C15" s="7" t="s">
        <v>140</v>
      </c>
      <c r="D15" s="7" t="s">
        <v>141</v>
      </c>
      <c r="E15" s="7" t="b">
        <v>1</v>
      </c>
      <c r="F15" s="7">
        <v>1</v>
      </c>
      <c r="G15" s="7">
        <v>2</v>
      </c>
    </row>
    <row r="16" spans="1:20" x14ac:dyDescent="0.25">
      <c r="A16" s="8" t="s">
        <v>142</v>
      </c>
      <c r="B16" s="9">
        <f>Data!$B$3:$B$88</f>
        <v>39933</v>
      </c>
    </row>
    <row r="17" spans="1:7" x14ac:dyDescent="0.25">
      <c r="A17" s="8" t="s">
        <v>143</v>
      </c>
    </row>
    <row r="18" spans="1:7" x14ac:dyDescent="0.25">
      <c r="A18" s="8" t="s">
        <v>144</v>
      </c>
      <c r="B18" s="7" t="s">
        <v>256</v>
      </c>
      <c r="D18" s="7" t="s">
        <v>151</v>
      </c>
      <c r="E18" s="7" t="b">
        <v>1</v>
      </c>
      <c r="F18" s="7">
        <v>1</v>
      </c>
      <c r="G18" s="7">
        <v>2</v>
      </c>
    </row>
    <row r="19" spans="1:7" x14ac:dyDescent="0.25">
      <c r="A19" s="8" t="s">
        <v>148</v>
      </c>
      <c r="B19" s="7">
        <f>Data!$C$3:$C$88</f>
        <v>5535</v>
      </c>
    </row>
    <row r="20" spans="1:7" x14ac:dyDescent="0.25">
      <c r="A20" s="8" t="s">
        <v>149</v>
      </c>
    </row>
    <row r="21" spans="1:7" x14ac:dyDescent="0.25">
      <c r="A21" s="8" t="s">
        <v>150</v>
      </c>
      <c r="B21" s="7" t="s">
        <v>145</v>
      </c>
      <c r="C21" s="7" t="s">
        <v>146</v>
      </c>
      <c r="D21" s="7" t="s">
        <v>147</v>
      </c>
      <c r="E21" s="7" t="b">
        <v>1</v>
      </c>
      <c r="F21" s="7">
        <v>1</v>
      </c>
      <c r="G21" s="7">
        <v>2</v>
      </c>
    </row>
    <row r="22" spans="1:7" x14ac:dyDescent="0.25">
      <c r="A22" s="8" t="s">
        <v>152</v>
      </c>
      <c r="B22" s="7">
        <f>Data!$D$3:$D$88</f>
        <v>35700000</v>
      </c>
    </row>
    <row r="23" spans="1:7" x14ac:dyDescent="0.25">
      <c r="A23" s="8" t="s">
        <v>153</v>
      </c>
    </row>
    <row r="24" spans="1:7" x14ac:dyDescent="0.25">
      <c r="A24" s="8" t="s">
        <v>154</v>
      </c>
      <c r="B24" s="7" t="s">
        <v>155</v>
      </c>
      <c r="C24" s="7" t="s">
        <v>156</v>
      </c>
      <c r="D24" s="7" t="s">
        <v>157</v>
      </c>
      <c r="E24" s="7" t="b">
        <v>1</v>
      </c>
      <c r="F24" s="7">
        <v>1</v>
      </c>
      <c r="G24" s="7">
        <v>2</v>
      </c>
    </row>
    <row r="25" spans="1:7" x14ac:dyDescent="0.25">
      <c r="A25" s="8" t="s">
        <v>158</v>
      </c>
      <c r="B25" s="7">
        <f>Data!$E$3:$E$88</f>
        <v>51021000</v>
      </c>
    </row>
    <row r="26" spans="1:7" x14ac:dyDescent="0.25">
      <c r="A26" s="8" t="s">
        <v>159</v>
      </c>
    </row>
    <row r="27" spans="1:7" x14ac:dyDescent="0.25">
      <c r="A27" s="8" t="s">
        <v>160</v>
      </c>
      <c r="B27" s="7" t="s">
        <v>161</v>
      </c>
      <c r="C27" s="7" t="s">
        <v>162</v>
      </c>
      <c r="D27" s="7" t="s">
        <v>163</v>
      </c>
      <c r="E27" s="7" t="b">
        <v>1</v>
      </c>
      <c r="F27" s="7">
        <v>1</v>
      </c>
      <c r="G27" s="7">
        <v>2</v>
      </c>
    </row>
    <row r="28" spans="1:7" x14ac:dyDescent="0.25">
      <c r="A28" s="8" t="s">
        <v>164</v>
      </c>
      <c r="B28" s="7">
        <f>Data!$F$3:$F$88</f>
        <v>18989708</v>
      </c>
    </row>
    <row r="29" spans="1:7" x14ac:dyDescent="0.25">
      <c r="A29" s="8" t="s">
        <v>165</v>
      </c>
    </row>
    <row r="30" spans="1:7" x14ac:dyDescent="0.25">
      <c r="A30" s="8" t="s">
        <v>166</v>
      </c>
      <c r="B30" s="7" t="s">
        <v>167</v>
      </c>
      <c r="C30" s="7" t="s">
        <v>168</v>
      </c>
      <c r="D30" s="7" t="s">
        <v>169</v>
      </c>
      <c r="E30" s="7" t="b">
        <v>1</v>
      </c>
      <c r="F30" s="7">
        <v>1</v>
      </c>
      <c r="G30" s="7">
        <v>2</v>
      </c>
    </row>
    <row r="31" spans="1:7" x14ac:dyDescent="0.25">
      <c r="A31" s="8" t="s">
        <v>170</v>
      </c>
      <c r="B31" s="7">
        <f>Data!$G$3:$G$88</f>
        <v>4083000</v>
      </c>
    </row>
    <row r="32" spans="1:7" x14ac:dyDescent="0.25">
      <c r="A32" s="8" t="s">
        <v>171</v>
      </c>
    </row>
    <row r="33" spans="1:7" x14ac:dyDescent="0.25">
      <c r="A33" s="8" t="s">
        <v>172</v>
      </c>
      <c r="B33" s="7" t="s">
        <v>173</v>
      </c>
      <c r="C33" s="7" t="s">
        <v>174</v>
      </c>
      <c r="D33" s="7" t="s">
        <v>175</v>
      </c>
      <c r="E33" s="7" t="b">
        <v>1</v>
      </c>
      <c r="F33" s="7">
        <v>1</v>
      </c>
      <c r="G33" s="7">
        <v>2</v>
      </c>
    </row>
    <row r="34" spans="1:7" x14ac:dyDescent="0.25">
      <c r="A34" s="8" t="s">
        <v>176</v>
      </c>
      <c r="B34" s="7">
        <f>Data!$H$3:$H$88</f>
        <v>17087289</v>
      </c>
    </row>
    <row r="35" spans="1:7" x14ac:dyDescent="0.25">
      <c r="A35" s="8" t="s">
        <v>177</v>
      </c>
    </row>
    <row r="36" spans="1:7" x14ac:dyDescent="0.25">
      <c r="A36" s="8" t="s">
        <v>178</v>
      </c>
      <c r="B36" s="7" t="s">
        <v>179</v>
      </c>
      <c r="C36" s="7" t="s">
        <v>180</v>
      </c>
      <c r="D36" s="7" t="s">
        <v>181</v>
      </c>
      <c r="E36" s="7" t="b">
        <v>1</v>
      </c>
      <c r="F36" s="7">
        <v>1</v>
      </c>
      <c r="G36" s="7">
        <v>2</v>
      </c>
    </row>
    <row r="37" spans="1:7" x14ac:dyDescent="0.25">
      <c r="A37" s="8" t="s">
        <v>182</v>
      </c>
      <c r="B37" s="7">
        <f>Data!$I$3:$I$88</f>
        <v>3889548</v>
      </c>
    </row>
    <row r="38" spans="1:7" x14ac:dyDescent="0.25">
      <c r="A38" s="8" t="s">
        <v>183</v>
      </c>
    </row>
    <row r="39" spans="1:7" x14ac:dyDescent="0.25">
      <c r="A39" s="8" t="s">
        <v>184</v>
      </c>
      <c r="B39" s="7" t="s">
        <v>185</v>
      </c>
      <c r="C39" s="7" t="s">
        <v>186</v>
      </c>
      <c r="D39" s="7" t="s">
        <v>187</v>
      </c>
      <c r="E39" s="7" t="b">
        <v>1</v>
      </c>
      <c r="F39" s="7">
        <v>1</v>
      </c>
      <c r="G39" s="7">
        <v>2</v>
      </c>
    </row>
    <row r="40" spans="1:7" x14ac:dyDescent="0.25">
      <c r="A40" s="8" t="s">
        <v>188</v>
      </c>
      <c r="B40" s="7">
        <f>Data!$J$3:$J$88</f>
        <v>36727000</v>
      </c>
    </row>
    <row r="41" spans="1:7" x14ac:dyDescent="0.25">
      <c r="A41" s="8" t="s">
        <v>189</v>
      </c>
    </row>
    <row r="42" spans="1:7" x14ac:dyDescent="0.25">
      <c r="A42" s="8" t="s">
        <v>190</v>
      </c>
      <c r="B42" s="7" t="s">
        <v>191</v>
      </c>
      <c r="C42" s="7" t="s">
        <v>192</v>
      </c>
      <c r="D42" s="7" t="s">
        <v>193</v>
      </c>
      <c r="E42" s="7" t="b">
        <v>1</v>
      </c>
      <c r="F42" s="7">
        <v>1</v>
      </c>
      <c r="G42" s="7">
        <v>2</v>
      </c>
    </row>
    <row r="43" spans="1:7" x14ac:dyDescent="0.25">
      <c r="A43" s="8" t="s">
        <v>194</v>
      </c>
      <c r="B43" s="7">
        <f>Data!$K$3:$K$88</f>
        <v>43003000000</v>
      </c>
    </row>
    <row r="44" spans="1:7" x14ac:dyDescent="0.25">
      <c r="A44" s="8" t="s">
        <v>195</v>
      </c>
    </row>
    <row r="45" spans="1:7" x14ac:dyDescent="0.25">
      <c r="A45" s="8" t="s">
        <v>196</v>
      </c>
      <c r="B45" s="7" t="s">
        <v>197</v>
      </c>
      <c r="C45" s="7" t="s">
        <v>198</v>
      </c>
      <c r="D45" s="7" t="s">
        <v>199</v>
      </c>
      <c r="E45" s="7" t="b">
        <v>1</v>
      </c>
      <c r="F45" s="7">
        <v>1</v>
      </c>
      <c r="G45" s="7">
        <v>2</v>
      </c>
    </row>
    <row r="46" spans="1:7" x14ac:dyDescent="0.25">
      <c r="A46" s="8" t="s">
        <v>200</v>
      </c>
      <c r="B46" s="7">
        <f>Data!$L$3:$L$88</f>
        <v>22017000</v>
      </c>
    </row>
    <row r="47" spans="1:7" x14ac:dyDescent="0.25">
      <c r="A47" s="8" t="s">
        <v>201</v>
      </c>
    </row>
    <row r="48" spans="1:7" x14ac:dyDescent="0.25">
      <c r="A48" s="8" t="s">
        <v>202</v>
      </c>
      <c r="B48" s="7" t="s">
        <v>203</v>
      </c>
      <c r="C48" s="7" t="s">
        <v>204</v>
      </c>
      <c r="D48" s="7" t="s">
        <v>205</v>
      </c>
      <c r="E48" s="7" t="b">
        <v>1</v>
      </c>
      <c r="F48" s="7">
        <v>1</v>
      </c>
      <c r="G48" s="7">
        <v>2</v>
      </c>
    </row>
    <row r="49" spans="1:7" x14ac:dyDescent="0.25">
      <c r="A49" s="8" t="s">
        <v>206</v>
      </c>
      <c r="B49" s="7">
        <f>Data!$M$3:$M$88</f>
        <v>-11291000</v>
      </c>
    </row>
    <row r="50" spans="1:7" x14ac:dyDescent="0.25">
      <c r="A50" s="8" t="s">
        <v>207</v>
      </c>
    </row>
    <row r="51" spans="1:7" x14ac:dyDescent="0.25">
      <c r="A51" s="8" t="s">
        <v>208</v>
      </c>
      <c r="B51" s="7" t="s">
        <v>209</v>
      </c>
      <c r="C51" s="7" t="s">
        <v>210</v>
      </c>
      <c r="D51" s="7" t="s">
        <v>211</v>
      </c>
      <c r="E51" s="7" t="b">
        <v>1</v>
      </c>
      <c r="F51" s="7">
        <v>1</v>
      </c>
      <c r="G51" s="7">
        <v>2</v>
      </c>
    </row>
    <row r="52" spans="1:7" x14ac:dyDescent="0.25">
      <c r="A52" s="8" t="s">
        <v>212</v>
      </c>
      <c r="B52" s="7">
        <f>Data!$N$3:$N$88</f>
        <v>-0.45</v>
      </c>
    </row>
    <row r="53" spans="1:7" x14ac:dyDescent="0.25">
      <c r="A53" s="8" t="s">
        <v>213</v>
      </c>
    </row>
    <row r="54" spans="1:7" x14ac:dyDescent="0.25">
      <c r="A54" s="8" t="s">
        <v>214</v>
      </c>
      <c r="B54" s="7" t="s">
        <v>215</v>
      </c>
      <c r="C54" s="7" t="s">
        <v>216</v>
      </c>
      <c r="D54" s="7" t="s">
        <v>217</v>
      </c>
      <c r="E54" s="7" t="b">
        <v>1</v>
      </c>
      <c r="F54" s="7">
        <v>1</v>
      </c>
      <c r="G54" s="7">
        <v>2</v>
      </c>
    </row>
    <row r="55" spans="1:7" x14ac:dyDescent="0.25">
      <c r="A55" s="8" t="s">
        <v>218</v>
      </c>
      <c r="B55" s="7">
        <f>Data!$O$3:$O$88</f>
        <v>24.55</v>
      </c>
    </row>
    <row r="56" spans="1:7" x14ac:dyDescent="0.25">
      <c r="A56" s="8" t="s">
        <v>219</v>
      </c>
    </row>
    <row r="57" spans="1:7" x14ac:dyDescent="0.25">
      <c r="A57" s="8" t="s">
        <v>220</v>
      </c>
      <c r="B57" s="7" t="s">
        <v>221</v>
      </c>
      <c r="C57" s="7" t="s">
        <v>222</v>
      </c>
      <c r="D57" s="7" t="s">
        <v>223</v>
      </c>
      <c r="E57" s="7" t="b">
        <v>1</v>
      </c>
      <c r="F57" s="7">
        <v>1</v>
      </c>
      <c r="G57" s="7">
        <v>2</v>
      </c>
    </row>
    <row r="58" spans="1:7" x14ac:dyDescent="0.25">
      <c r="A58" s="8" t="s">
        <v>224</v>
      </c>
      <c r="B58" s="7">
        <f>Data!$P$3:$P$88</f>
        <v>16.88</v>
      </c>
    </row>
    <row r="59" spans="1:7" x14ac:dyDescent="0.25">
      <c r="A59" s="8" t="s">
        <v>225</v>
      </c>
    </row>
    <row r="60" spans="1:7" x14ac:dyDescent="0.25">
      <c r="A60" s="8" t="s">
        <v>226</v>
      </c>
      <c r="B60" s="7" t="s">
        <v>227</v>
      </c>
      <c r="C60" s="7" t="s">
        <v>228</v>
      </c>
      <c r="D60" s="7" t="s">
        <v>229</v>
      </c>
      <c r="E60" s="7" t="b">
        <v>1</v>
      </c>
      <c r="F60" s="7">
        <v>1</v>
      </c>
      <c r="G60" s="7">
        <v>2</v>
      </c>
    </row>
    <row r="61" spans="1:7" x14ac:dyDescent="0.25">
      <c r="A61" s="8" t="s">
        <v>230</v>
      </c>
      <c r="B61" s="7">
        <f>Data!$Q$3:$Q$88</f>
        <v>8.84</v>
      </c>
    </row>
    <row r="62" spans="1:7" x14ac:dyDescent="0.25">
      <c r="A62" s="8" t="s">
        <v>231</v>
      </c>
    </row>
    <row r="63" spans="1:7" x14ac:dyDescent="0.25">
      <c r="A63" s="8" t="s">
        <v>232</v>
      </c>
      <c r="B63" s="7" t="s">
        <v>233</v>
      </c>
      <c r="C63" s="7" t="s">
        <v>234</v>
      </c>
      <c r="D63" s="7" t="s">
        <v>235</v>
      </c>
      <c r="E63" s="7" t="b">
        <v>1</v>
      </c>
      <c r="F63" s="7">
        <v>1</v>
      </c>
      <c r="G63" s="7">
        <v>2</v>
      </c>
    </row>
    <row r="64" spans="1:7" x14ac:dyDescent="0.25">
      <c r="A64" s="8" t="s">
        <v>236</v>
      </c>
      <c r="B64" s="7">
        <f>Data!$R$3:$R$88</f>
        <v>32.51</v>
      </c>
    </row>
    <row r="65" spans="1:7" x14ac:dyDescent="0.25">
      <c r="A65" s="8" t="s">
        <v>237</v>
      </c>
    </row>
    <row r="66" spans="1:7" x14ac:dyDescent="0.25">
      <c r="A66" s="8" t="s">
        <v>238</v>
      </c>
      <c r="B66" s="7" t="s">
        <v>239</v>
      </c>
      <c r="C66" s="7" t="s">
        <v>240</v>
      </c>
      <c r="D66" s="7" t="s">
        <v>241</v>
      </c>
      <c r="E66" s="7" t="b">
        <v>1</v>
      </c>
      <c r="F66" s="7">
        <v>1</v>
      </c>
      <c r="G66" s="7">
        <v>3</v>
      </c>
    </row>
    <row r="67" spans="1:7" x14ac:dyDescent="0.25">
      <c r="A67" s="8" t="s">
        <v>242</v>
      </c>
      <c r="B67" s="7">
        <f>Data!$S$3:$S$88</f>
        <v>1.21</v>
      </c>
    </row>
    <row r="68" spans="1:7" x14ac:dyDescent="0.25">
      <c r="A68" s="8" t="s">
        <v>243</v>
      </c>
    </row>
    <row r="69" spans="1:7" x14ac:dyDescent="0.25">
      <c r="A69" s="8" t="s">
        <v>244</v>
      </c>
      <c r="B69" s="7" t="s">
        <v>245</v>
      </c>
      <c r="C69" s="7" t="s">
        <v>246</v>
      </c>
      <c r="D69" s="7" t="s">
        <v>247</v>
      </c>
      <c r="E69" s="7" t="b">
        <v>1</v>
      </c>
      <c r="F69" s="7">
        <v>1</v>
      </c>
      <c r="G69" s="7">
        <v>3</v>
      </c>
    </row>
    <row r="70" spans="1:7" x14ac:dyDescent="0.25">
      <c r="A70" s="8" t="s">
        <v>248</v>
      </c>
      <c r="B70" s="7">
        <f>Data!$T$3:$T$88</f>
        <v>4.24</v>
      </c>
    </row>
    <row r="71" spans="1:7" x14ac:dyDescent="0.25">
      <c r="A71" s="8" t="s">
        <v>249</v>
      </c>
    </row>
    <row r="72" spans="1:7" x14ac:dyDescent="0.25">
      <c r="A72" s="8" t="s">
        <v>250</v>
      </c>
      <c r="B72" s="7" t="s">
        <v>251</v>
      </c>
      <c r="C72" s="7" t="s">
        <v>252</v>
      </c>
      <c r="D72" s="7" t="s">
        <v>253</v>
      </c>
      <c r="E72" s="7" t="b">
        <v>1</v>
      </c>
      <c r="F72" s="7">
        <v>1</v>
      </c>
      <c r="G72" s="7">
        <v>2</v>
      </c>
    </row>
    <row r="73" spans="1:7" x14ac:dyDescent="0.25">
      <c r="A73" s="8" t="s">
        <v>254</v>
      </c>
      <c r="B73" s="7">
        <f>Data!$U$3:$U$88</f>
        <v>52.98</v>
      </c>
    </row>
    <row r="74" spans="1:7" x14ac:dyDescent="0.25">
      <c r="A74" s="8" t="s">
        <v>255</v>
      </c>
    </row>
    <row r="75" spans="1:7" x14ac:dyDescent="0.25">
      <c r="A75" s="8" t="s">
        <v>273</v>
      </c>
      <c r="B75" s="7" t="s">
        <v>274</v>
      </c>
      <c r="C75" s="7" t="s">
        <v>272</v>
      </c>
      <c r="D75" s="7" t="s">
        <v>275</v>
      </c>
      <c r="E75" s="7" t="b">
        <v>1</v>
      </c>
      <c r="F75" s="7">
        <v>0</v>
      </c>
      <c r="G75" s="7">
        <v>4</v>
      </c>
    </row>
    <row r="76" spans="1:7" x14ac:dyDescent="0.25">
      <c r="A76" s="8" t="s">
        <v>276</v>
      </c>
      <c r="B76" s="7">
        <f>Data!$V$3:$V$88</f>
        <v>16.493307715895462</v>
      </c>
    </row>
    <row r="77" spans="1:7" x14ac:dyDescent="0.25">
      <c r="A77" s="8" t="s">
        <v>277</v>
      </c>
    </row>
    <row r="78" spans="1:7" x14ac:dyDescent="0.25">
      <c r="A78" s="8" t="s">
        <v>279</v>
      </c>
      <c r="B78" s="7" t="s">
        <v>280</v>
      </c>
      <c r="C78" s="7" t="s">
        <v>278</v>
      </c>
      <c r="D78" s="7" t="s">
        <v>281</v>
      </c>
      <c r="E78" s="7" t="b">
        <v>1</v>
      </c>
      <c r="F78" s="7">
        <v>0</v>
      </c>
      <c r="G78" s="7">
        <v>4</v>
      </c>
    </row>
    <row r="79" spans="1:7" x14ac:dyDescent="0.25">
      <c r="A79" s="8" t="s">
        <v>282</v>
      </c>
      <c r="B79" s="7">
        <f>Data!$W$3:$W$88</f>
        <v>16.386284611209181</v>
      </c>
    </row>
    <row r="80" spans="1:7" x14ac:dyDescent="0.25">
      <c r="A80" s="8" t="s">
        <v>283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showGridLines="0" workbookViewId="0"/>
  </sheetViews>
  <sheetFormatPr defaultColWidth="12.7109375" defaultRowHeight="15" x14ac:dyDescent="0.25"/>
  <cols>
    <col min="1" max="1" width="16.85546875" bestFit="1" customWidth="1"/>
    <col min="2" max="4" width="12.7109375" customWidth="1"/>
    <col min="5" max="5" width="12.85546875" bestFit="1" customWidth="1"/>
    <col min="6" max="9" width="12.7109375" customWidth="1"/>
    <col min="10" max="10" width="12.85546875" bestFit="1" customWidth="1"/>
    <col min="11" max="11" width="12.7109375" customWidth="1"/>
    <col min="12" max="12" width="14.5703125" bestFit="1" customWidth="1"/>
    <col min="13" max="16" width="12.7109375" customWidth="1"/>
    <col min="17" max="17" width="15.28515625" bestFit="1" customWidth="1"/>
    <col min="18" max="19" width="12.7109375" customWidth="1"/>
    <col min="20" max="20" width="16.85546875" bestFit="1" customWidth="1"/>
  </cols>
  <sheetData>
    <row r="1" spans="1:20" s="10" customFormat="1" ht="18.75" x14ac:dyDescent="0.3">
      <c r="A1" s="12" t="s">
        <v>257</v>
      </c>
      <c r="B1" s="15" t="s">
        <v>258</v>
      </c>
    </row>
    <row r="2" spans="1:20" s="10" customFormat="1" ht="11.25" x14ac:dyDescent="0.2">
      <c r="A2" s="13" t="s">
        <v>259</v>
      </c>
      <c r="B2" s="15" t="s">
        <v>260</v>
      </c>
    </row>
    <row r="3" spans="1:20" s="10" customFormat="1" ht="11.25" x14ac:dyDescent="0.2">
      <c r="A3" s="13" t="s">
        <v>261</v>
      </c>
      <c r="B3" s="15" t="s">
        <v>262</v>
      </c>
    </row>
    <row r="4" spans="1:20" s="10" customFormat="1" ht="11.25" x14ac:dyDescent="0.2">
      <c r="A4" s="13" t="s">
        <v>263</v>
      </c>
      <c r="B4" s="15" t="s">
        <v>284</v>
      </c>
    </row>
    <row r="5" spans="1:20" s="11" customFormat="1" ht="11.25" x14ac:dyDescent="0.2">
      <c r="A5" s="14" t="s">
        <v>264</v>
      </c>
      <c r="B5" s="16" t="s">
        <v>265</v>
      </c>
    </row>
    <row r="6" spans="1:20" ht="15" customHeight="1" x14ac:dyDescent="0.25"/>
    <row r="7" spans="1:20" ht="15" customHeight="1" x14ac:dyDescent="0.25">
      <c r="A7" s="20"/>
      <c r="B7" s="17" t="s">
        <v>107</v>
      </c>
      <c r="C7" s="17" t="s">
        <v>0</v>
      </c>
      <c r="D7" s="17" t="s">
        <v>1</v>
      </c>
      <c r="E7" s="17" t="s">
        <v>2</v>
      </c>
      <c r="F7" s="17" t="s">
        <v>3</v>
      </c>
      <c r="G7" s="17" t="s">
        <v>4</v>
      </c>
      <c r="H7" s="17" t="s">
        <v>5</v>
      </c>
      <c r="I7" s="17" t="s">
        <v>6</v>
      </c>
      <c r="J7" s="17" t="s">
        <v>7</v>
      </c>
      <c r="K7" s="17" t="s">
        <v>8</v>
      </c>
      <c r="L7" s="17" t="s">
        <v>9</v>
      </c>
      <c r="M7" s="17" t="s">
        <v>11</v>
      </c>
      <c r="N7" s="17" t="s">
        <v>12</v>
      </c>
      <c r="O7" s="17" t="s">
        <v>13</v>
      </c>
      <c r="P7" s="17" t="s">
        <v>14</v>
      </c>
      <c r="Q7" s="17" t="s">
        <v>15</v>
      </c>
      <c r="R7" s="17" t="s">
        <v>17</v>
      </c>
      <c r="S7" s="17" t="s">
        <v>18</v>
      </c>
      <c r="T7" s="17" t="s">
        <v>19</v>
      </c>
    </row>
    <row r="8" spans="1:20" ht="15" customHeight="1" thickBot="1" x14ac:dyDescent="0.3">
      <c r="A8" s="21" t="s">
        <v>266</v>
      </c>
      <c r="B8" s="18" t="s">
        <v>120</v>
      </c>
      <c r="C8" s="18" t="s">
        <v>120</v>
      </c>
      <c r="D8" s="18" t="s">
        <v>120</v>
      </c>
      <c r="E8" s="18" t="s">
        <v>120</v>
      </c>
      <c r="F8" s="18" t="s">
        <v>120</v>
      </c>
      <c r="G8" s="18" t="s">
        <v>120</v>
      </c>
      <c r="H8" s="18" t="s">
        <v>120</v>
      </c>
      <c r="I8" s="18" t="s">
        <v>120</v>
      </c>
      <c r="J8" s="18" t="s">
        <v>120</v>
      </c>
      <c r="K8" s="18" t="s">
        <v>120</v>
      </c>
      <c r="L8" s="18" t="s">
        <v>120</v>
      </c>
      <c r="M8" s="18" t="s">
        <v>120</v>
      </c>
      <c r="N8" s="18" t="s">
        <v>120</v>
      </c>
      <c r="O8" s="18" t="s">
        <v>120</v>
      </c>
      <c r="P8" s="18" t="s">
        <v>120</v>
      </c>
      <c r="Q8" s="18" t="s">
        <v>120</v>
      </c>
      <c r="R8" s="18" t="s">
        <v>120</v>
      </c>
      <c r="S8" s="18" t="s">
        <v>120</v>
      </c>
      <c r="T8" s="18" t="s">
        <v>120</v>
      </c>
    </row>
    <row r="9" spans="1:20" ht="15" customHeight="1" thickTop="1" x14ac:dyDescent="0.25">
      <c r="A9" s="19" t="s">
        <v>107</v>
      </c>
      <c r="B9" s="22">
        <v>1</v>
      </c>
      <c r="C9" s="22"/>
      <c r="D9" s="22"/>
      <c r="E9" s="22"/>
      <c r="F9" s="22"/>
      <c r="G9" s="22"/>
      <c r="H9" s="22"/>
      <c r="I9" s="22"/>
      <c r="J9" s="22"/>
      <c r="K9" s="22"/>
      <c r="L9" s="22"/>
      <c r="M9" s="22"/>
      <c r="N9" s="22"/>
      <c r="O9" s="22"/>
      <c r="P9" s="22"/>
      <c r="Q9" s="22"/>
      <c r="R9" s="22"/>
      <c r="S9" s="22"/>
      <c r="T9" s="22"/>
    </row>
    <row r="10" spans="1:20" ht="15" customHeight="1" x14ac:dyDescent="0.25">
      <c r="A10" s="19" t="s">
        <v>0</v>
      </c>
      <c r="B10" s="22">
        <f>_xll.StatCorrelationCoeff( ST_TotalRevenue,ST_RD)</f>
        <v>0.64405766841013978</v>
      </c>
      <c r="C10" s="22">
        <v>1</v>
      </c>
      <c r="D10" s="22"/>
      <c r="E10" s="22"/>
      <c r="F10" s="22"/>
      <c r="G10" s="22"/>
      <c r="H10" s="22"/>
      <c r="I10" s="22"/>
      <c r="J10" s="22"/>
      <c r="K10" s="22"/>
      <c r="L10" s="22"/>
      <c r="M10" s="22"/>
      <c r="N10" s="22"/>
      <c r="O10" s="22"/>
      <c r="P10" s="22"/>
      <c r="Q10" s="22"/>
      <c r="R10" s="22"/>
      <c r="S10" s="22"/>
      <c r="T10" s="22"/>
    </row>
    <row r="11" spans="1:20" ht="15" customHeight="1" x14ac:dyDescent="0.25">
      <c r="A11" s="19" t="s">
        <v>1</v>
      </c>
      <c r="B11" s="22">
        <f>_xll.StatCorrelationCoeff( ST_EBITDA,ST_RD)</f>
        <v>0.77364221428428526</v>
      </c>
      <c r="C11" s="22">
        <f>_xll.StatCorrelationCoeff( ST_EBITDA,ST_TotalRevenue)</f>
        <v>0.93965331845084266</v>
      </c>
      <c r="D11" s="22">
        <v>1</v>
      </c>
      <c r="E11" s="22"/>
      <c r="F11" s="22"/>
      <c r="G11" s="22"/>
      <c r="H11" s="22"/>
      <c r="I11" s="22"/>
      <c r="J11" s="22"/>
      <c r="K11" s="22"/>
      <c r="L11" s="22"/>
      <c r="M11" s="22"/>
      <c r="N11" s="22"/>
      <c r="O11" s="22"/>
      <c r="P11" s="22"/>
      <c r="Q11" s="22"/>
      <c r="R11" s="22"/>
      <c r="S11" s="22"/>
      <c r="T11" s="22"/>
    </row>
    <row r="12" spans="1:20" ht="15" customHeight="1" x14ac:dyDescent="0.25">
      <c r="A12" s="19" t="s">
        <v>2</v>
      </c>
      <c r="B12" s="22">
        <f>_xll.StatCorrelationCoeff( ST_OperatingIncome,ST_RD)</f>
        <v>0.80658349404454399</v>
      </c>
      <c r="C12" s="22">
        <f>_xll.StatCorrelationCoeff( ST_OperatingIncome,ST_TotalRevenue)</f>
        <v>0.89527749712012938</v>
      </c>
      <c r="D12" s="22">
        <f>_xll.StatCorrelationCoeff( ST_OperatingIncome,ST_EBITDA)</f>
        <v>0.98901157726649336</v>
      </c>
      <c r="E12" s="22">
        <v>1</v>
      </c>
      <c r="F12" s="22"/>
      <c r="G12" s="22"/>
      <c r="H12" s="22"/>
      <c r="I12" s="22"/>
      <c r="J12" s="22"/>
      <c r="K12" s="22"/>
      <c r="L12" s="22"/>
      <c r="M12" s="22"/>
      <c r="N12" s="22"/>
      <c r="O12" s="22"/>
      <c r="P12" s="22"/>
      <c r="Q12" s="22"/>
      <c r="R12" s="22"/>
      <c r="S12" s="22"/>
      <c r="T12" s="22"/>
    </row>
    <row r="13" spans="1:20" ht="15" customHeight="1" x14ac:dyDescent="0.25">
      <c r="A13" s="19" t="s">
        <v>3</v>
      </c>
      <c r="B13" s="22">
        <f>_xll.StatCorrelationCoeff( ST_NetIncome,ST_RD)</f>
        <v>0.82331006969470621</v>
      </c>
      <c r="C13" s="22">
        <f>_xll.StatCorrelationCoeff( ST_NetIncome,ST_TotalRevenue)</f>
        <v>0.88175588226838519</v>
      </c>
      <c r="D13" s="22">
        <f>_xll.StatCorrelationCoeff( ST_NetIncome,ST_EBITDA)</f>
        <v>0.981616157555813</v>
      </c>
      <c r="E13" s="22">
        <f>_xll.StatCorrelationCoeff( ST_NetIncome,ST_OperatingIncome)</f>
        <v>0.98789166469149081</v>
      </c>
      <c r="F13" s="22">
        <v>1</v>
      </c>
      <c r="G13" s="22"/>
      <c r="H13" s="22"/>
      <c r="I13" s="22"/>
      <c r="J13" s="22"/>
      <c r="K13" s="22"/>
      <c r="L13" s="22"/>
      <c r="M13" s="22"/>
      <c r="N13" s="22"/>
      <c r="O13" s="22"/>
      <c r="P13" s="22"/>
      <c r="Q13" s="22"/>
      <c r="R13" s="22"/>
      <c r="S13" s="22"/>
      <c r="T13" s="22"/>
    </row>
    <row r="14" spans="1:20" ht="15" customHeight="1" x14ac:dyDescent="0.25">
      <c r="A14" s="19" t="s">
        <v>4</v>
      </c>
      <c r="B14" s="22">
        <f>_xll.StatCorrelationCoeff( ST_TotalAssets,ST_RD)</f>
        <v>0.82406718907616894</v>
      </c>
      <c r="C14" s="22">
        <f>_xll.StatCorrelationCoeff( ST_TotalAssets,ST_TotalRevenue)</f>
        <v>0.92477449810407364</v>
      </c>
      <c r="D14" s="22">
        <f>_xll.StatCorrelationCoeff( ST_TotalAssets,ST_EBITDA)</f>
        <v>0.98844367241433062</v>
      </c>
      <c r="E14" s="22">
        <f>_xll.StatCorrelationCoeff( ST_TotalAssets,ST_OperatingIncome)</f>
        <v>0.97156244609637188</v>
      </c>
      <c r="F14" s="22">
        <f>_xll.StatCorrelationCoeff( ST_TotalAssets,ST_NetIncome)</f>
        <v>0.97721169783093487</v>
      </c>
      <c r="G14" s="22">
        <v>1</v>
      </c>
      <c r="H14" s="22"/>
      <c r="I14" s="22"/>
      <c r="J14" s="22"/>
      <c r="K14" s="22"/>
      <c r="L14" s="22"/>
      <c r="M14" s="22"/>
      <c r="N14" s="22"/>
      <c r="O14" s="22"/>
      <c r="P14" s="22"/>
      <c r="Q14" s="22"/>
      <c r="R14" s="22"/>
      <c r="S14" s="22"/>
      <c r="T14" s="22"/>
    </row>
    <row r="15" spans="1:20" ht="15" customHeight="1" x14ac:dyDescent="0.25">
      <c r="A15" s="19" t="s">
        <v>5</v>
      </c>
      <c r="B15" s="22">
        <f>_xll.StatCorrelationCoeff( ST_CurrentAssets,ST_RD)</f>
        <v>0.84839205094265846</v>
      </c>
      <c r="C15" s="22">
        <f>_xll.StatCorrelationCoeff( ST_CurrentAssets,ST_TotalRevenue)</f>
        <v>0.90030261178852411</v>
      </c>
      <c r="D15" s="22">
        <f>_xll.StatCorrelationCoeff( ST_CurrentAssets,ST_EBITDA)</f>
        <v>0.97929664238766623</v>
      </c>
      <c r="E15" s="22">
        <f>_xll.StatCorrelationCoeff( ST_CurrentAssets,ST_OperatingIncome)</f>
        <v>0.98534007303566506</v>
      </c>
      <c r="F15" s="22">
        <f>_xll.StatCorrelationCoeff( ST_CurrentAssets,ST_NetIncome)</f>
        <v>0.98520007004783661</v>
      </c>
      <c r="G15" s="22">
        <f>_xll.StatCorrelationCoeff( ST_CurrentAssets,ST_TotalAssets)</f>
        <v>0.97592779750287673</v>
      </c>
      <c r="H15" s="22">
        <v>1</v>
      </c>
      <c r="I15" s="22"/>
      <c r="J15" s="22"/>
      <c r="K15" s="22"/>
      <c r="L15" s="22"/>
      <c r="M15" s="22"/>
      <c r="N15" s="22"/>
      <c r="O15" s="22"/>
      <c r="P15" s="22"/>
      <c r="Q15" s="22"/>
      <c r="R15" s="22"/>
      <c r="S15" s="22"/>
      <c r="T15" s="22"/>
    </row>
    <row r="16" spans="1:20" ht="15" customHeight="1" x14ac:dyDescent="0.25">
      <c r="A16" s="19" t="s">
        <v>6</v>
      </c>
      <c r="B16" s="22">
        <f>_xll.StatCorrelationCoeff( ST_TotalLiabilities,ST_RD)</f>
        <v>0.71550106951126025</v>
      </c>
      <c r="C16" s="22">
        <f>_xll.StatCorrelationCoeff( ST_TotalLiabilities,ST_TotalRevenue)</f>
        <v>0.97609808038377643</v>
      </c>
      <c r="D16" s="22">
        <f>_xll.StatCorrelationCoeff( ST_TotalLiabilities,ST_EBITDA)</f>
        <v>0.97642371708520348</v>
      </c>
      <c r="E16" s="22">
        <f>_xll.StatCorrelationCoeff( ST_TotalLiabilities,ST_OperatingIncome)</f>
        <v>0.93971302959162262</v>
      </c>
      <c r="F16" s="22">
        <f>_xll.StatCorrelationCoeff( ST_TotalLiabilities,ST_NetIncome)</f>
        <v>0.93123052773588366</v>
      </c>
      <c r="G16" s="22">
        <f>_xll.StatCorrelationCoeff( ST_TotalLiabilities,ST_TotalAssets)</f>
        <v>0.97493680776484193</v>
      </c>
      <c r="H16" s="22">
        <f>_xll.StatCorrelationCoeff( ST_TotalLiabilities,ST_CurrentAssets)</f>
        <v>0.94049170421629036</v>
      </c>
      <c r="I16" s="22">
        <v>1</v>
      </c>
      <c r="J16" s="22"/>
      <c r="K16" s="22"/>
      <c r="L16" s="22"/>
      <c r="M16" s="22"/>
      <c r="N16" s="22"/>
      <c r="O16" s="22"/>
      <c r="P16" s="22"/>
      <c r="Q16" s="22"/>
      <c r="R16" s="22"/>
      <c r="S16" s="22"/>
      <c r="T16" s="22"/>
    </row>
    <row r="17" spans="1:20" ht="15" customHeight="1" x14ac:dyDescent="0.25">
      <c r="A17" s="19" t="s">
        <v>7</v>
      </c>
      <c r="B17" s="22">
        <f>_xll.StatCorrelationCoeff( ST_CurrentLiabilities,ST_RD)</f>
        <v>0.65120223911936637</v>
      </c>
      <c r="C17" s="22">
        <f>_xll.StatCorrelationCoeff( ST_CurrentLiabilities,ST_TotalRevenue)</f>
        <v>0.97995383751947995</v>
      </c>
      <c r="D17" s="22">
        <f>_xll.StatCorrelationCoeff( ST_CurrentLiabilities,ST_EBITDA)</f>
        <v>0.97035392323829939</v>
      </c>
      <c r="E17" s="22">
        <f>_xll.StatCorrelationCoeff( ST_CurrentLiabilities,ST_OperatingIncome)</f>
        <v>0.93333927777805614</v>
      </c>
      <c r="F17" s="22">
        <f>_xll.StatCorrelationCoeff( ST_CurrentLiabilities,ST_NetIncome)</f>
        <v>0.91696628092099841</v>
      </c>
      <c r="G17" s="22">
        <f>_xll.StatCorrelationCoeff( ST_CurrentLiabilities,ST_TotalAssets)</f>
        <v>0.9522662976681957</v>
      </c>
      <c r="H17" s="22">
        <f>_xll.StatCorrelationCoeff( ST_CurrentLiabilities,ST_CurrentAssets)</f>
        <v>0.92996069044989194</v>
      </c>
      <c r="I17" s="22">
        <f>_xll.StatCorrelationCoeff( ST_CurrentLiabilities,ST_TotalLiabilities)</f>
        <v>0.98930204857540638</v>
      </c>
      <c r="J17" s="22">
        <v>1</v>
      </c>
      <c r="K17" s="22"/>
      <c r="L17" s="22"/>
      <c r="M17" s="22"/>
      <c r="N17" s="22"/>
      <c r="O17" s="22"/>
      <c r="P17" s="22"/>
      <c r="Q17" s="22"/>
      <c r="R17" s="22"/>
      <c r="S17" s="22"/>
      <c r="T17" s="22"/>
    </row>
    <row r="18" spans="1:20" ht="15" customHeight="1" x14ac:dyDescent="0.25">
      <c r="A18" s="19" t="s">
        <v>8</v>
      </c>
      <c r="B18" s="22">
        <f>_xll.StatCorrelationCoeff( ST_LongTermDebt,ST_RD)</f>
        <v>0.88792088904761568</v>
      </c>
      <c r="C18" s="22">
        <f>_xll.StatCorrelationCoeff( ST_LongTermDebt,ST_TotalRevenue)</f>
        <v>0.83536220484386947</v>
      </c>
      <c r="D18" s="22">
        <f>_xll.StatCorrelationCoeff( ST_LongTermDebt,ST_EBITDA)</f>
        <v>0.94413690855345889</v>
      </c>
      <c r="E18" s="22">
        <f>_xll.StatCorrelationCoeff( ST_LongTermDebt,ST_OperatingIncome)</f>
        <v>0.95824622676843341</v>
      </c>
      <c r="F18" s="22">
        <f>_xll.StatCorrelationCoeff( ST_LongTermDebt,ST_NetIncome)</f>
        <v>0.95219161890128257</v>
      </c>
      <c r="G18" s="22">
        <f>_xll.StatCorrelationCoeff( ST_LongTermDebt,ST_TotalAssets)</f>
        <v>0.95880810027579455</v>
      </c>
      <c r="H18" s="22">
        <f>_xll.StatCorrelationCoeff( ST_LongTermDebt,ST_CurrentAssets)</f>
        <v>0.93388079213529118</v>
      </c>
      <c r="I18" s="22">
        <f>_xll.StatCorrelationCoeff( ST_LongTermDebt,ST_TotalLiabilities)</f>
        <v>0.91717996294099058</v>
      </c>
      <c r="J18" s="22">
        <f>_xll.StatCorrelationCoeff( ST_LongTermDebt,ST_CurrentLiabilities)</f>
        <v>0.8639026242765484</v>
      </c>
      <c r="K18" s="22">
        <v>1</v>
      </c>
      <c r="L18" s="22"/>
      <c r="M18" s="22"/>
      <c r="N18" s="22"/>
      <c r="O18" s="22"/>
      <c r="P18" s="22"/>
      <c r="Q18" s="22"/>
      <c r="R18" s="22"/>
      <c r="S18" s="22"/>
      <c r="T18" s="22"/>
    </row>
    <row r="19" spans="1:20" ht="15" customHeight="1" x14ac:dyDescent="0.25">
      <c r="A19" s="19" t="s">
        <v>9</v>
      </c>
      <c r="B19" s="22">
        <f>_xll.StatCorrelationCoeff( ST_StockholdersEquity,ST_RD)</f>
        <v>0.90303328436805763</v>
      </c>
      <c r="C19" s="22">
        <f>_xll.StatCorrelationCoeff( ST_StockholdersEquity,ST_TotalRevenue)</f>
        <v>0.78881718657644762</v>
      </c>
      <c r="D19" s="22">
        <f>_xll.StatCorrelationCoeff( ST_StockholdersEquity,ST_EBITDA)</f>
        <v>0.92986111121857429</v>
      </c>
      <c r="E19" s="22">
        <f>_xll.StatCorrelationCoeff( ST_StockholdersEquity,ST_OperatingIncome)</f>
        <v>0.93996414190633126</v>
      </c>
      <c r="F19" s="22">
        <f>_xll.StatCorrelationCoeff( ST_StockholdersEquity,ST_NetIncome)</f>
        <v>0.96351743723813044</v>
      </c>
      <c r="G19" s="22">
        <f>_xll.StatCorrelationCoeff( ST_StockholdersEquity,ST_TotalAssets)</f>
        <v>0.95746648766404863</v>
      </c>
      <c r="H19" s="22">
        <f>_xll.StatCorrelationCoeff( ST_StockholdersEquity,ST_CurrentAssets)</f>
        <v>0.94865360682449196</v>
      </c>
      <c r="I19" s="22">
        <f>_xll.StatCorrelationCoeff( ST_StockholdersEquity,ST_TotalLiabilities)</f>
        <v>0.86927337753594758</v>
      </c>
      <c r="J19" s="22">
        <f>_xll.StatCorrelationCoeff( ST_StockholdersEquity,ST_CurrentLiabilities)</f>
        <v>0.83277641319653695</v>
      </c>
      <c r="K19" s="22">
        <f>_xll.StatCorrelationCoeff( ST_StockholdersEquity,ST_LongTermDebt)</f>
        <v>0.95082772534024063</v>
      </c>
      <c r="L19" s="22">
        <v>1</v>
      </c>
      <c r="M19" s="22"/>
      <c r="N19" s="22"/>
      <c r="O19" s="22"/>
      <c r="P19" s="22"/>
      <c r="Q19" s="22"/>
      <c r="R19" s="22"/>
      <c r="S19" s="22"/>
      <c r="T19" s="22"/>
    </row>
    <row r="20" spans="1:20" ht="15" customHeight="1" x14ac:dyDescent="0.25">
      <c r="A20" s="19" t="s">
        <v>11</v>
      </c>
      <c r="B20" s="22">
        <f>_xll.StatCorrelationCoeff( ST_ROANet,ST_RD)</f>
        <v>-1.346966771808176E-2</v>
      </c>
      <c r="C20" s="22">
        <f>_xll.StatCorrelationCoeff( ST_ROANet,ST_TotalRevenue)</f>
        <v>6.3214935389311125E-3</v>
      </c>
      <c r="D20" s="22">
        <f>_xll.StatCorrelationCoeff( ST_ROANet,ST_EBITDA)</f>
        <v>2.4602805911743669E-2</v>
      </c>
      <c r="E20" s="22">
        <f>_xll.StatCorrelationCoeff( ST_ROANet,ST_OperatingIncome)</f>
        <v>3.1608672158726724E-2</v>
      </c>
      <c r="F20" s="22">
        <f>_xll.StatCorrelationCoeff( ST_ROANet,ST_NetIncome)</f>
        <v>3.4447744832942447E-2</v>
      </c>
      <c r="G20" s="22">
        <f>_xll.StatCorrelationCoeff( ST_ROANet,ST_TotalAssets)</f>
        <v>9.1978004481031005E-3</v>
      </c>
      <c r="H20" s="22">
        <f>_xll.StatCorrelationCoeff( ST_ROANet,ST_CurrentAssets)</f>
        <v>1.5294078002072789E-2</v>
      </c>
      <c r="I20" s="22">
        <f>_xll.StatCorrelationCoeff( ST_ROANet,ST_TotalLiabilities)</f>
        <v>7.1401907983655597E-3</v>
      </c>
      <c r="J20" s="22">
        <f>_xll.StatCorrelationCoeff( ST_ROANet,ST_CurrentLiabilities)</f>
        <v>9.7387184282843233E-3</v>
      </c>
      <c r="K20" s="22">
        <f>_xll.StatCorrelationCoeff( ST_ROANet,ST_LongTermDebt)</f>
        <v>9.5360587160552027E-2</v>
      </c>
      <c r="L20" s="22">
        <f>_xll.StatCorrelationCoeff( ST_ROANet,ST_StockholdersEquity)</f>
        <v>1.1176131357961147E-2</v>
      </c>
      <c r="M20" s="22">
        <v>1</v>
      </c>
      <c r="N20" s="22"/>
      <c r="O20" s="22"/>
      <c r="P20" s="22"/>
      <c r="Q20" s="22"/>
      <c r="R20" s="22"/>
      <c r="S20" s="22"/>
      <c r="T20" s="22"/>
    </row>
    <row r="21" spans="1:20" ht="15" customHeight="1" x14ac:dyDescent="0.25">
      <c r="A21" s="19" t="s">
        <v>12</v>
      </c>
      <c r="B21" s="22">
        <f>_xll.StatCorrelationCoeff( ST_ROENet,ST_RD)</f>
        <v>-3.5697808199389093E-2</v>
      </c>
      <c r="C21" s="22">
        <f>_xll.StatCorrelationCoeff( ST_ROENet,ST_TotalRevenue)</f>
        <v>8.9103951245565471E-3</v>
      </c>
      <c r="D21" s="22">
        <f>_xll.StatCorrelationCoeff( ST_ROENet,ST_EBITDA)</f>
        <v>-3.1966618306942525E-3</v>
      </c>
      <c r="E21" s="22">
        <f>_xll.StatCorrelationCoeff( ST_ROENet,ST_OperatingIncome)</f>
        <v>-2.4755287435752858E-3</v>
      </c>
      <c r="F21" s="22">
        <f>_xll.StatCorrelationCoeff( ST_ROENet,ST_NetIncome)</f>
        <v>-3.9204399980247353E-3</v>
      </c>
      <c r="G21" s="22">
        <f>_xll.StatCorrelationCoeff( ST_ROENet,ST_TotalAssets)</f>
        <v>-1.3832879674898138E-2</v>
      </c>
      <c r="H21" s="22">
        <f>_xll.StatCorrelationCoeff( ST_ROENet,ST_CurrentAssets)</f>
        <v>-7.4122646109683627E-3</v>
      </c>
      <c r="I21" s="22">
        <f>_xll.StatCorrelationCoeff( ST_ROENet,ST_TotalLiabilities)</f>
        <v>-1.6709194996877546E-3</v>
      </c>
      <c r="J21" s="22">
        <f>_xll.StatCorrelationCoeff( ST_ROENet,ST_CurrentLiabilities)</f>
        <v>3.4252880889078506E-3</v>
      </c>
      <c r="K21" s="22">
        <f>_xll.StatCorrelationCoeff( ST_ROENet,ST_LongTermDebt)</f>
        <v>-2.2341164314219304E-2</v>
      </c>
      <c r="L21" s="22">
        <f>_xll.StatCorrelationCoeff( ST_ROENet,ST_StockholdersEquity)</f>
        <v>-2.8593999194302357E-2</v>
      </c>
      <c r="M21" s="22">
        <f>_xll.StatCorrelationCoeff( ST_ROENet,ST_ROANet)</f>
        <v>0.62479608718838198</v>
      </c>
      <c r="N21" s="22">
        <v>1</v>
      </c>
      <c r="O21" s="22"/>
      <c r="P21" s="22"/>
      <c r="Q21" s="22"/>
      <c r="R21" s="22"/>
      <c r="S21" s="22"/>
      <c r="T21" s="22"/>
    </row>
    <row r="22" spans="1:20" ht="15" customHeight="1" x14ac:dyDescent="0.25">
      <c r="A22" s="19" t="s">
        <v>13</v>
      </c>
      <c r="B22" s="22">
        <f>_xll.StatCorrelationCoeff( ST_ROIOperating,ST_RD)</f>
        <v>3.479081495851321E-2</v>
      </c>
      <c r="C22" s="22">
        <f>_xll.StatCorrelationCoeff( ST_ROIOperating,ST_TotalRevenue)</f>
        <v>3.6537313017373438E-2</v>
      </c>
      <c r="D22" s="22">
        <f>_xll.StatCorrelationCoeff( ST_ROIOperating,ST_EBITDA)</f>
        <v>3.6730468455940066E-2</v>
      </c>
      <c r="E22" s="22">
        <f>_xll.StatCorrelationCoeff( ST_ROIOperating,ST_OperatingIncome)</f>
        <v>3.814627627119957E-2</v>
      </c>
      <c r="F22" s="22">
        <f>_xll.StatCorrelationCoeff( ST_ROIOperating,ST_NetIncome)</f>
        <v>3.7359217057359992E-2</v>
      </c>
      <c r="G22" s="22">
        <f>_xll.StatCorrelationCoeff( ST_ROIOperating,ST_TotalAssets)</f>
        <v>3.4852377315520794E-2</v>
      </c>
      <c r="H22" s="22">
        <f>_xll.StatCorrelationCoeff( ST_ROIOperating,ST_CurrentAssets)</f>
        <v>3.7776960015528951E-2</v>
      </c>
      <c r="I22" s="22">
        <f>_xll.StatCorrelationCoeff( ST_ROIOperating,ST_TotalLiabilities)</f>
        <v>3.3154748422024691E-2</v>
      </c>
      <c r="J22" s="22">
        <f>_xll.StatCorrelationCoeff( ST_ROIOperating,ST_CurrentLiabilities)</f>
        <v>3.3115034241111084E-2</v>
      </c>
      <c r="K22" s="22">
        <f>_xll.StatCorrelationCoeff( ST_ROIOperating,ST_LongTermDebt)</f>
        <v>2.5148467364337915E-2</v>
      </c>
      <c r="L22" s="22">
        <f>_xll.StatCorrelationCoeff( ST_ROIOperating,ST_StockholdersEquity)</f>
        <v>3.4434840443133156E-2</v>
      </c>
      <c r="M22" s="22">
        <f>_xll.StatCorrelationCoeff( ST_ROIOperating,ST_ROANet)</f>
        <v>0.1097990904187246</v>
      </c>
      <c r="N22" s="22">
        <f>_xll.StatCorrelationCoeff( ST_ROIOperating,ST_ROENet)</f>
        <v>0.51273646778746851</v>
      </c>
      <c r="O22" s="22">
        <v>1</v>
      </c>
      <c r="P22" s="22"/>
      <c r="Q22" s="22"/>
      <c r="R22" s="22"/>
      <c r="S22" s="22"/>
      <c r="T22" s="22"/>
    </row>
    <row r="23" spans="1:20" ht="15" customHeight="1" x14ac:dyDescent="0.25">
      <c r="A23" s="19" t="s">
        <v>14</v>
      </c>
      <c r="B23" s="22">
        <f>_xll.StatCorrelationCoeff( ST_EBITDAMargin,ST_RD)</f>
        <v>8.1760227118800169E-2</v>
      </c>
      <c r="C23" s="22">
        <f>_xll.StatCorrelationCoeff( ST_EBITDAMargin,ST_TotalRevenue)</f>
        <v>-2.4789848051705913E-3</v>
      </c>
      <c r="D23" s="22">
        <f>_xll.StatCorrelationCoeff( ST_EBITDAMargin,ST_EBITDA)</f>
        <v>8.0966395297798838E-2</v>
      </c>
      <c r="E23" s="22">
        <f>_xll.StatCorrelationCoeff( ST_EBITDAMargin,ST_OperatingIncome)</f>
        <v>9.5649078666684664E-2</v>
      </c>
      <c r="F23" s="22">
        <f>_xll.StatCorrelationCoeff( ST_EBITDAMargin,ST_NetIncome)</f>
        <v>0.10823320116635177</v>
      </c>
      <c r="G23" s="22">
        <f>_xll.StatCorrelationCoeff( ST_EBITDAMargin,ST_TotalAssets)</f>
        <v>6.733399612130038E-2</v>
      </c>
      <c r="H23" s="22">
        <f>_xll.StatCorrelationCoeff( ST_EBITDAMargin,ST_CurrentAssets)</f>
        <v>6.6709490766900456E-2</v>
      </c>
      <c r="I23" s="22">
        <f>_xll.StatCorrelationCoeff( ST_EBITDAMargin,ST_TotalLiabilities)</f>
        <v>2.8820503467038173E-2</v>
      </c>
      <c r="J23" s="22">
        <f>_xll.StatCorrelationCoeff( ST_EBITDAMargin,ST_CurrentLiabilities)</f>
        <v>1.1628618859922463E-2</v>
      </c>
      <c r="K23" s="22">
        <f>_xll.StatCorrelationCoeff( ST_EBITDAMargin,ST_LongTermDebt)</f>
        <v>0.10154453908801915</v>
      </c>
      <c r="L23" s="22">
        <f>_xll.StatCorrelationCoeff( ST_EBITDAMargin,ST_StockholdersEquity)</f>
        <v>0.11223080401418567</v>
      </c>
      <c r="M23" s="22">
        <f>_xll.StatCorrelationCoeff( ST_EBITDAMargin,ST_ROANet)</f>
        <v>0.43648874379512381</v>
      </c>
      <c r="N23" s="22">
        <f>_xll.StatCorrelationCoeff( ST_EBITDAMargin,ST_ROENet)</f>
        <v>0.23234187099856066</v>
      </c>
      <c r="O23" s="22">
        <f>_xll.StatCorrelationCoeff( ST_EBITDAMargin,ST_ROIOperating)</f>
        <v>-0.17548789283023974</v>
      </c>
      <c r="P23" s="22">
        <v>1</v>
      </c>
      <c r="Q23" s="22"/>
      <c r="R23" s="22"/>
      <c r="S23" s="22"/>
      <c r="T23" s="22"/>
    </row>
    <row r="24" spans="1:20" ht="15" customHeight="1" x14ac:dyDescent="0.25">
      <c r="A24" s="19" t="s">
        <v>15</v>
      </c>
      <c r="B24" s="22">
        <f>_xll.StatCorrelationCoeff( ST_CalculatedTaxRate,ST_RD)</f>
        <v>-1.1947790500728053E-2</v>
      </c>
      <c r="C24" s="22">
        <f>_xll.StatCorrelationCoeff( ST_CalculatedTaxRate,ST_TotalRevenue)</f>
        <v>-2.2996820944043286E-2</v>
      </c>
      <c r="D24" s="22">
        <f>_xll.StatCorrelationCoeff( ST_CalculatedTaxRate,ST_EBITDA)</f>
        <v>-3.5340706945681186E-2</v>
      </c>
      <c r="E24" s="22">
        <f>_xll.StatCorrelationCoeff( ST_CalculatedTaxRate,ST_OperatingIncome)</f>
        <v>-3.5982497209023821E-2</v>
      </c>
      <c r="F24" s="22">
        <f>_xll.StatCorrelationCoeff( ST_CalculatedTaxRate,ST_NetIncome)</f>
        <v>-4.4895468574245624E-2</v>
      </c>
      <c r="G24" s="22">
        <f>_xll.StatCorrelationCoeff( ST_CalculatedTaxRate,ST_TotalAssets)</f>
        <v>-2.4339504205981407E-2</v>
      </c>
      <c r="H24" s="22">
        <f>_xll.StatCorrelationCoeff( ST_CalculatedTaxRate,ST_CurrentAssets)</f>
        <v>-2.4038714961113733E-2</v>
      </c>
      <c r="I24" s="22">
        <f>_xll.StatCorrelationCoeff( ST_CalculatedTaxRate,ST_TotalLiabilities)</f>
        <v>-1.6119916646229658E-2</v>
      </c>
      <c r="J24" s="22">
        <f>_xll.StatCorrelationCoeff( ST_CalculatedTaxRate,ST_CurrentLiabilities)</f>
        <v>-2.4113244285735847E-2</v>
      </c>
      <c r="K24" s="22">
        <f>_xll.StatCorrelationCoeff( ST_CalculatedTaxRate,ST_LongTermDebt)</f>
        <v>-2.1902810950473563E-2</v>
      </c>
      <c r="L24" s="22">
        <f>_xll.StatCorrelationCoeff( ST_CalculatedTaxRate,ST_StockholdersEquity)</f>
        <v>-3.3175374294917417E-2</v>
      </c>
      <c r="M24" s="22">
        <f>_xll.StatCorrelationCoeff( ST_CalculatedTaxRate,ST_ROANet)</f>
        <v>-0.12920735126405378</v>
      </c>
      <c r="N24" s="22">
        <f>_xll.StatCorrelationCoeff( ST_CalculatedTaxRate,ST_ROENet)</f>
        <v>-6.4649986866107512E-2</v>
      </c>
      <c r="O24" s="22">
        <f>_xll.StatCorrelationCoeff( ST_CalculatedTaxRate,ST_ROIOperating)</f>
        <v>1.480309418615309E-2</v>
      </c>
      <c r="P24" s="22">
        <f>_xll.StatCorrelationCoeff( ST_CalculatedTaxRate,ST_EBITDAMargin)</f>
        <v>-0.12853862824636111</v>
      </c>
      <c r="Q24" s="22">
        <v>1</v>
      </c>
      <c r="R24" s="22"/>
      <c r="S24" s="22"/>
      <c r="T24" s="22"/>
    </row>
    <row r="25" spans="1:20" ht="15" customHeight="1" x14ac:dyDescent="0.25">
      <c r="A25" s="19" t="s">
        <v>17</v>
      </c>
      <c r="B25" s="22">
        <f>_xll.StatCorrelationCoeff( ST_QuickRatio,ST_RD)</f>
        <v>-0.19837016311411923</v>
      </c>
      <c r="C25" s="22">
        <f>_xll.StatCorrelationCoeff( ST_QuickRatio,ST_TotalRevenue)</f>
        <v>-0.18974638831164062</v>
      </c>
      <c r="D25" s="22">
        <f>_xll.StatCorrelationCoeff( ST_QuickRatio,ST_EBITDA)</f>
        <v>-0.20453954943253583</v>
      </c>
      <c r="E25" s="22">
        <f>_xll.StatCorrelationCoeff( ST_QuickRatio,ST_OperatingIncome)</f>
        <v>-0.21131471305736188</v>
      </c>
      <c r="F25" s="22">
        <f>_xll.StatCorrelationCoeff( ST_QuickRatio,ST_NetIncome)</f>
        <v>-0.21173305108063029</v>
      </c>
      <c r="G25" s="22">
        <f>_xll.StatCorrelationCoeff( ST_QuickRatio,ST_TotalAssets)</f>
        <v>-0.20419069704633355</v>
      </c>
      <c r="H25" s="22">
        <f>_xll.StatCorrelationCoeff( ST_QuickRatio,ST_CurrentAssets)</f>
        <v>-0.21151154267268424</v>
      </c>
      <c r="I25" s="22">
        <f>_xll.StatCorrelationCoeff( ST_QuickRatio,ST_TotalLiabilities)</f>
        <v>-0.19053683080281547</v>
      </c>
      <c r="J25" s="22">
        <f>_xll.StatCorrelationCoeff( ST_QuickRatio,ST_CurrentLiabilities)</f>
        <v>-0.19023247519451694</v>
      </c>
      <c r="K25" s="22">
        <f>_xll.StatCorrelationCoeff( ST_QuickRatio,ST_LongTermDebt)</f>
        <v>-0.2019807998053528</v>
      </c>
      <c r="L25" s="22">
        <f>_xll.StatCorrelationCoeff( ST_QuickRatio,ST_StockholdersEquity)</f>
        <v>-0.20657663484367497</v>
      </c>
      <c r="M25" s="22">
        <f>_xll.StatCorrelationCoeff( ST_QuickRatio,ST_ROANet)</f>
        <v>5.9370658589701343E-2</v>
      </c>
      <c r="N25" s="22">
        <f>_xll.StatCorrelationCoeff( ST_QuickRatio,ST_ROENet)</f>
        <v>8.7632317045250846E-2</v>
      </c>
      <c r="O25" s="22">
        <f>_xll.StatCorrelationCoeff( ST_QuickRatio,ST_ROIOperating)</f>
        <v>0.1134617801556343</v>
      </c>
      <c r="P25" s="22">
        <f>_xll.StatCorrelationCoeff( ST_QuickRatio,ST_EBITDAMargin)</f>
        <v>0.13831477462815819</v>
      </c>
      <c r="Q25" s="22">
        <f>_xll.StatCorrelationCoeff( ST_QuickRatio,ST_CalculatedTaxRate)</f>
        <v>-5.1939294580265569E-2</v>
      </c>
      <c r="R25" s="22">
        <v>1</v>
      </c>
      <c r="S25" s="22"/>
      <c r="T25" s="22"/>
    </row>
    <row r="26" spans="1:20" ht="15" customHeight="1" x14ac:dyDescent="0.25">
      <c r="A26" s="19" t="s">
        <v>18</v>
      </c>
      <c r="B26" s="22">
        <f>_xll.StatCorrelationCoeff( ST_CurrentRatio,ST_RD)</f>
        <v>-0.11530629891646857</v>
      </c>
      <c r="C26" s="22">
        <f>_xll.StatCorrelationCoeff( ST_CurrentRatio,ST_TotalRevenue)</f>
        <v>-0.1437727247910075</v>
      </c>
      <c r="D26" s="22">
        <f>_xll.StatCorrelationCoeff( ST_CurrentRatio,ST_EBITDA)</f>
        <v>-0.13608675820678054</v>
      </c>
      <c r="E26" s="22">
        <f>_xll.StatCorrelationCoeff( ST_CurrentRatio,ST_OperatingIncome)</f>
        <v>-0.1339174218566741</v>
      </c>
      <c r="F26" s="22">
        <f>_xll.StatCorrelationCoeff( ST_CurrentRatio,ST_NetIncome)</f>
        <v>-0.13378769789861811</v>
      </c>
      <c r="G26" s="22">
        <f>_xll.StatCorrelationCoeff( ST_CurrentRatio,ST_TotalAssets)</f>
        <v>-0.13598060193834646</v>
      </c>
      <c r="H26" s="22">
        <f>_xll.StatCorrelationCoeff( ST_CurrentRatio,ST_CurrentAssets)</f>
        <v>-0.13522580989632815</v>
      </c>
      <c r="I26" s="22">
        <f>_xll.StatCorrelationCoeff( ST_CurrentRatio,ST_TotalLiabilities)</f>
        <v>-0.13519852791828479</v>
      </c>
      <c r="J26" s="22">
        <f>_xll.StatCorrelationCoeff( ST_CurrentRatio,ST_CurrentLiabilities)</f>
        <v>-0.13939788465041697</v>
      </c>
      <c r="K26" s="22">
        <f>_xll.StatCorrelationCoeff( ST_CurrentRatio,ST_LongTermDebt)</f>
        <v>-0.12972426570646114</v>
      </c>
      <c r="L26" s="22">
        <f>_xll.StatCorrelationCoeff( ST_CurrentRatio,ST_StockholdersEquity)</f>
        <v>-0.12679107566774295</v>
      </c>
      <c r="M26" s="22">
        <f>_xll.StatCorrelationCoeff( ST_CurrentRatio,ST_ROANet)</f>
        <v>-6.7088627983992906E-3</v>
      </c>
      <c r="N26" s="22">
        <f>_xll.StatCorrelationCoeff( ST_CurrentRatio,ST_ROENet)</f>
        <v>-1.8414772229730172E-2</v>
      </c>
      <c r="O26" s="22">
        <f>_xll.StatCorrelationCoeff( ST_CurrentRatio,ST_ROIOperating)</f>
        <v>8.6732837473207119E-2</v>
      </c>
      <c r="P26" s="22">
        <f>_xll.StatCorrelationCoeff( ST_CurrentRatio,ST_EBITDAMargin)</f>
        <v>9.6064588938170103E-2</v>
      </c>
      <c r="Q26" s="22">
        <f>_xll.StatCorrelationCoeff( ST_CurrentRatio,ST_CalculatedTaxRate)</f>
        <v>-5.3208610448401403E-2</v>
      </c>
      <c r="R26" s="22">
        <f>_xll.StatCorrelationCoeff( ST_CurrentRatio,ST_QuickRatio)</f>
        <v>0.78609740260425798</v>
      </c>
      <c r="S26" s="22">
        <v>1</v>
      </c>
      <c r="T26" s="22"/>
    </row>
    <row r="27" spans="1:20" ht="15" customHeight="1" x14ac:dyDescent="0.25">
      <c r="A27" s="19" t="s">
        <v>19</v>
      </c>
      <c r="B27" s="22">
        <f>_xll.StatCorrelationCoeff( ST_NetCurrentAssetsTA,ST_RD)</f>
        <v>-9.8378846785610666E-2</v>
      </c>
      <c r="C27" s="22">
        <f>_xll.StatCorrelationCoeff( ST_NetCurrentAssetsTA,ST_TotalRevenue)</f>
        <v>-0.17522401044788116</v>
      </c>
      <c r="D27" s="22">
        <f>_xll.StatCorrelationCoeff( ST_NetCurrentAssetsTA,ST_EBITDA)</f>
        <v>-0.15579012059745523</v>
      </c>
      <c r="E27" s="22">
        <f>_xll.StatCorrelationCoeff( ST_NetCurrentAssetsTA,ST_OperatingIncome)</f>
        <v>-0.14234861984663538</v>
      </c>
      <c r="F27" s="22">
        <f>_xll.StatCorrelationCoeff( ST_NetCurrentAssetsTA,ST_NetIncome)</f>
        <v>-0.1489043733097393</v>
      </c>
      <c r="G27" s="22">
        <f>_xll.StatCorrelationCoeff( ST_NetCurrentAssetsTA,ST_TotalAssets)</f>
        <v>-0.16046361736754608</v>
      </c>
      <c r="H27" s="22">
        <f>_xll.StatCorrelationCoeff( ST_NetCurrentAssetsTA,ST_CurrentAssets)</f>
        <v>-0.13714181342011553</v>
      </c>
      <c r="I27" s="22">
        <f>_xll.StatCorrelationCoeff( ST_NetCurrentAssetsTA,ST_TotalLiabilities)</f>
        <v>-0.16594029113930578</v>
      </c>
      <c r="J27" s="22">
        <f>_xll.StatCorrelationCoeff( ST_NetCurrentAssetsTA,ST_CurrentLiabilities)</f>
        <v>-0.16656274710712166</v>
      </c>
      <c r="K27" s="22">
        <f>_xll.StatCorrelationCoeff( ST_NetCurrentAssetsTA,ST_LongTermDebt)</f>
        <v>-0.18593500957817941</v>
      </c>
      <c r="L27" s="22">
        <f>_xll.StatCorrelationCoeff( ST_NetCurrentAssetsTA,ST_StockholdersEquity)</f>
        <v>-0.14131972925077446</v>
      </c>
      <c r="M27" s="22">
        <f>_xll.StatCorrelationCoeff( ST_NetCurrentAssetsTA,ST_ROANet)</f>
        <v>0.14019323146311274</v>
      </c>
      <c r="N27" s="22">
        <f>_xll.StatCorrelationCoeff( ST_NetCurrentAssetsTA,ST_ROENet)</f>
        <v>0.21437324959967052</v>
      </c>
      <c r="O27" s="22">
        <f>_xll.StatCorrelationCoeff( ST_NetCurrentAssetsTA,ST_ROIOperating)</f>
        <v>0.65739294787200375</v>
      </c>
      <c r="P27" s="22">
        <f>_xll.StatCorrelationCoeff( ST_NetCurrentAssetsTA,ST_EBITDAMargin)</f>
        <v>-6.5833325698600897E-2</v>
      </c>
      <c r="Q27" s="22">
        <f>_xll.StatCorrelationCoeff( ST_NetCurrentAssetsTA,ST_CalculatedTaxRate)</f>
        <v>-0.10942343631552169</v>
      </c>
      <c r="R27" s="22">
        <f>_xll.StatCorrelationCoeff( ST_NetCurrentAssetsTA,ST_QuickRatio)</f>
        <v>0.56943336005800127</v>
      </c>
      <c r="S27" s="22">
        <f>_xll.StatCorrelationCoeff( ST_NetCurrentAssetsTA,ST_CurrentRatio)</f>
        <v>0.55638179594320436</v>
      </c>
      <c r="T27" s="22">
        <v>1</v>
      </c>
    </row>
    <row r="28" spans="1:20" ht="15" customHeight="1" x14ac:dyDescent="0.25"/>
    <row r="29" spans="1:20" ht="15" customHeight="1" x14ac:dyDescent="0.25">
      <c r="A29" s="7" t="s">
        <v>267</v>
      </c>
    </row>
    <row r="30" spans="1:20" ht="15" customHeight="1" x14ac:dyDescent="0.25">
      <c r="A30" s="7" t="s">
        <v>268</v>
      </c>
      <c r="B30" s="25">
        <v>0.6</v>
      </c>
    </row>
    <row r="31" spans="1:20" ht="15" customHeight="1" x14ac:dyDescent="0.25">
      <c r="A31" s="7" t="s">
        <v>269</v>
      </c>
      <c r="B31" s="25">
        <v>-0.2</v>
      </c>
    </row>
    <row r="32" spans="1:20" ht="15" customHeight="1" x14ac:dyDescent="0.25"/>
    <row r="33" ht="15" customHeight="1" x14ac:dyDescent="0.25"/>
  </sheetData>
  <conditionalFormatting sqref="B10:B27">
    <cfRule type="cellIs" dxfId="1" priority="1" operator="lessThan">
      <formula>$B$31</formula>
    </cfRule>
    <cfRule type="cellIs" dxfId="0" priority="2" operator="greaterThan">
      <formula>$B$30</formula>
    </cfRule>
  </conditionalFormatting>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0"/>
  <sheetViews>
    <sheetView showGridLines="0" workbookViewId="0"/>
  </sheetViews>
  <sheetFormatPr defaultColWidth="12.7109375" defaultRowHeight="15" x14ac:dyDescent="0.25"/>
  <cols>
    <col min="1" max="2" width="12.7109375" customWidth="1"/>
    <col min="11" max="12" width="12.7109375" customWidth="1"/>
  </cols>
  <sheetData>
    <row r="1" spans="1:2" s="10" customFormat="1" ht="18.75" x14ac:dyDescent="0.3">
      <c r="A1" s="12" t="s">
        <v>257</v>
      </c>
      <c r="B1" s="15" t="s">
        <v>258</v>
      </c>
    </row>
    <row r="2" spans="1:2" s="10" customFormat="1" ht="11.25" x14ac:dyDescent="0.2">
      <c r="A2" s="13" t="s">
        <v>259</v>
      </c>
      <c r="B2" s="15" t="s">
        <v>270</v>
      </c>
    </row>
    <row r="3" spans="1:2" s="10" customFormat="1" ht="11.25" x14ac:dyDescent="0.2">
      <c r="A3" s="13" t="s">
        <v>261</v>
      </c>
      <c r="B3" s="15" t="s">
        <v>262</v>
      </c>
    </row>
    <row r="4" spans="1:2" s="10" customFormat="1" ht="11.25" x14ac:dyDescent="0.2">
      <c r="A4" s="13" t="s">
        <v>263</v>
      </c>
      <c r="B4" s="15" t="s">
        <v>284</v>
      </c>
    </row>
    <row r="5" spans="1:2" s="11" customFormat="1" ht="11.25" x14ac:dyDescent="0.2">
      <c r="A5" s="14" t="s">
        <v>264</v>
      </c>
      <c r="B5" s="16" t="s">
        <v>265</v>
      </c>
    </row>
    <row r="6" spans="1:2" ht="15" customHeight="1" x14ac:dyDescent="0.25"/>
    <row r="7" spans="1:2" ht="15" customHeight="1" x14ac:dyDescent="0.25"/>
    <row r="8" spans="1:2" ht="15" customHeight="1" x14ac:dyDescent="0.25"/>
    <row r="9" spans="1:2" ht="15" customHeight="1" x14ac:dyDescent="0.25"/>
    <row r="10" spans="1:2" ht="15" customHeight="1" x14ac:dyDescent="0.25"/>
    <row r="11" spans="1:2" ht="15" customHeight="1" x14ac:dyDescent="0.25"/>
    <row r="12" spans="1:2" ht="15" customHeight="1" x14ac:dyDescent="0.25"/>
    <row r="13" spans="1:2" ht="15" customHeight="1" x14ac:dyDescent="0.25"/>
    <row r="14" spans="1:2" ht="15" customHeight="1" x14ac:dyDescent="0.25"/>
    <row r="15" spans="1:2" ht="15" customHeight="1" x14ac:dyDescent="0.25"/>
    <row r="16" spans="1:2" ht="15" customHeight="1" x14ac:dyDescent="0.25"/>
    <row r="17" spans="1:12" ht="15" customHeight="1" x14ac:dyDescent="0.25"/>
    <row r="18" spans="1:12" ht="15" customHeight="1" x14ac:dyDescent="0.25"/>
    <row r="19" spans="1:12" ht="15" customHeight="1" x14ac:dyDescent="0.25"/>
    <row r="20" spans="1:12" ht="15" customHeight="1" x14ac:dyDescent="0.25"/>
    <row r="21" spans="1:12" ht="15" customHeight="1" x14ac:dyDescent="0.25"/>
    <row r="22" spans="1:12" ht="15" customHeight="1" x14ac:dyDescent="0.25"/>
    <row r="23" spans="1:12" ht="15" customHeight="1" x14ac:dyDescent="0.25"/>
    <row r="24" spans="1:12" ht="15" customHeight="1" x14ac:dyDescent="0.25">
      <c r="A24" s="23" t="s">
        <v>271</v>
      </c>
      <c r="B24" s="24">
        <f>_xll.StatCorrelationCoeff(ST_OperatingIncome,ST_RD)</f>
        <v>0.80658349404454399</v>
      </c>
      <c r="K24" s="23" t="s">
        <v>271</v>
      </c>
      <c r="L24" s="24">
        <f>_xll.StatCorrelationCoeff([0]!ST_LogTotalRevenue,[0]!ST_LogRD)</f>
        <v>0.910098740036409</v>
      </c>
    </row>
    <row r="25" spans="1:12" ht="15" customHeight="1" x14ac:dyDescent="0.25"/>
    <row r="26" spans="1:12" ht="15" customHeight="1" x14ac:dyDescent="0.25"/>
    <row r="27" spans="1:12" ht="15" customHeight="1" x14ac:dyDescent="0.25"/>
    <row r="28" spans="1:12" ht="15" customHeight="1" x14ac:dyDescent="0.25"/>
    <row r="29" spans="1:12" ht="15" customHeight="1" x14ac:dyDescent="0.25"/>
    <row r="30" spans="1:12" ht="15" customHeight="1" x14ac:dyDescent="0.25"/>
    <row r="31" spans="1:12" ht="15" customHeight="1" x14ac:dyDescent="0.25"/>
    <row r="32" spans="1:12" ht="15" customHeight="1" x14ac:dyDescent="0.25"/>
    <row r="33" spans="1:2" ht="15" customHeight="1" x14ac:dyDescent="0.25"/>
    <row r="34" spans="1:2" ht="15" customHeight="1" x14ac:dyDescent="0.25"/>
    <row r="35" spans="1:2" ht="15" customHeight="1" x14ac:dyDescent="0.25"/>
    <row r="36" spans="1:2" ht="15" customHeight="1" x14ac:dyDescent="0.25"/>
    <row r="37" spans="1:2" ht="15" customHeight="1" x14ac:dyDescent="0.25"/>
    <row r="38" spans="1:2" ht="15" customHeight="1" x14ac:dyDescent="0.25"/>
    <row r="39" spans="1:2" ht="15" customHeight="1" x14ac:dyDescent="0.25"/>
    <row r="40" spans="1:2" ht="15" customHeight="1" x14ac:dyDescent="0.25"/>
    <row r="41" spans="1:2" ht="15" customHeight="1" x14ac:dyDescent="0.25"/>
    <row r="42" spans="1:2" ht="15" customHeight="1" x14ac:dyDescent="0.25"/>
    <row r="43" spans="1:2" ht="15" customHeight="1" x14ac:dyDescent="0.25">
      <c r="A43" s="23" t="s">
        <v>271</v>
      </c>
      <c r="B43" s="24">
        <f>_xll.StatCorrelationCoeff(ST_NetIncome,ST_RD)</f>
        <v>0.82331006969470621</v>
      </c>
    </row>
    <row r="44" spans="1:2" ht="15" customHeight="1" x14ac:dyDescent="0.25"/>
    <row r="45" spans="1:2" ht="15" customHeight="1" x14ac:dyDescent="0.25"/>
    <row r="46" spans="1:2" ht="15" customHeight="1" x14ac:dyDescent="0.25"/>
    <row r="47" spans="1:2" ht="15" customHeight="1" x14ac:dyDescent="0.25"/>
    <row r="48" spans="1:2" ht="15" customHeight="1" x14ac:dyDescent="0.25"/>
    <row r="49" spans="1:2" ht="15" customHeight="1" x14ac:dyDescent="0.25"/>
    <row r="50" spans="1:2" ht="15" customHeight="1" x14ac:dyDescent="0.25"/>
    <row r="51" spans="1:2" ht="15" customHeight="1" x14ac:dyDescent="0.25"/>
    <row r="52" spans="1:2" ht="15" customHeight="1" x14ac:dyDescent="0.25"/>
    <row r="53" spans="1:2" ht="15" customHeight="1" x14ac:dyDescent="0.25"/>
    <row r="54" spans="1:2" ht="15" customHeight="1" x14ac:dyDescent="0.25"/>
    <row r="55" spans="1:2" ht="15" customHeight="1" x14ac:dyDescent="0.25"/>
    <row r="56" spans="1:2" ht="15" customHeight="1" x14ac:dyDescent="0.25"/>
    <row r="57" spans="1:2" ht="15" customHeight="1" x14ac:dyDescent="0.25"/>
    <row r="58" spans="1:2" ht="15" customHeight="1" x14ac:dyDescent="0.25"/>
    <row r="59" spans="1:2" ht="15" customHeight="1" x14ac:dyDescent="0.25"/>
    <row r="60" spans="1:2" ht="15" customHeight="1" x14ac:dyDescent="0.25"/>
    <row r="61" spans="1:2" ht="15" customHeight="1" x14ac:dyDescent="0.25"/>
    <row r="62" spans="1:2" ht="15" customHeight="1" x14ac:dyDescent="0.25">
      <c r="A62" s="23" t="s">
        <v>271</v>
      </c>
      <c r="B62" s="24">
        <f>_xll.StatCorrelationCoeff(ST_TotalAssets,ST_RD)</f>
        <v>0.82406718907616894</v>
      </c>
    </row>
    <row r="63" spans="1:2" ht="15" customHeight="1" x14ac:dyDescent="0.25"/>
    <row r="64" spans="1:2"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spans="1:2" ht="15" customHeight="1" x14ac:dyDescent="0.25">
      <c r="A81" s="23" t="s">
        <v>271</v>
      </c>
      <c r="B81" s="24">
        <f>_xll.StatCorrelationCoeff(ST_CurrentAssets,ST_RD)</f>
        <v>0.84839205094265846</v>
      </c>
    </row>
    <row r="82" spans="1:2" ht="15" customHeight="1" x14ac:dyDescent="0.25"/>
    <row r="83" spans="1:2" ht="15" customHeight="1" x14ac:dyDescent="0.25"/>
    <row r="84" spans="1:2" ht="15" customHeight="1" x14ac:dyDescent="0.25"/>
    <row r="85" spans="1:2" ht="15" customHeight="1" x14ac:dyDescent="0.25"/>
    <row r="86" spans="1:2" ht="15" customHeight="1" x14ac:dyDescent="0.25"/>
    <row r="87" spans="1:2" ht="15" customHeight="1" x14ac:dyDescent="0.25"/>
    <row r="88" spans="1:2" ht="15" customHeight="1" x14ac:dyDescent="0.25"/>
    <row r="89" spans="1:2" ht="15" customHeight="1" x14ac:dyDescent="0.25"/>
    <row r="90" spans="1:2" ht="15" customHeight="1" x14ac:dyDescent="0.25"/>
    <row r="91" spans="1:2" ht="15" customHeight="1" x14ac:dyDescent="0.25"/>
    <row r="92" spans="1:2" ht="15" customHeight="1" x14ac:dyDescent="0.25"/>
    <row r="93" spans="1:2" ht="15" customHeight="1" x14ac:dyDescent="0.25"/>
    <row r="94" spans="1:2" ht="15" customHeight="1" x14ac:dyDescent="0.25"/>
    <row r="95" spans="1:2" ht="15" customHeight="1" x14ac:dyDescent="0.25"/>
    <row r="96" spans="1:2" ht="15" customHeight="1" x14ac:dyDescent="0.25"/>
    <row r="97" spans="1:2" ht="15" customHeight="1" x14ac:dyDescent="0.25"/>
    <row r="98" spans="1:2" ht="15" customHeight="1" x14ac:dyDescent="0.25"/>
    <row r="99" spans="1:2" ht="15" customHeight="1" x14ac:dyDescent="0.25"/>
    <row r="100" spans="1:2" ht="15" customHeight="1" x14ac:dyDescent="0.25">
      <c r="A100" s="23" t="s">
        <v>271</v>
      </c>
      <c r="B100" s="24">
        <f>_xll.StatCorrelationCoeff(ST_LongTermDebt,ST_RD)</f>
        <v>0.88792088904761568</v>
      </c>
    </row>
    <row r="101" spans="1:2" ht="15" customHeight="1" x14ac:dyDescent="0.25"/>
    <row r="102" spans="1:2" ht="15" customHeight="1" x14ac:dyDescent="0.25"/>
    <row r="103" spans="1:2" ht="15" customHeight="1" x14ac:dyDescent="0.25"/>
    <row r="104" spans="1:2" ht="15" customHeight="1" x14ac:dyDescent="0.25"/>
    <row r="105" spans="1:2" ht="15" customHeight="1" x14ac:dyDescent="0.25"/>
    <row r="106" spans="1:2" ht="15" customHeight="1" x14ac:dyDescent="0.25"/>
    <row r="107" spans="1:2" ht="15" customHeight="1" x14ac:dyDescent="0.25"/>
    <row r="108" spans="1:2" ht="15" customHeight="1" x14ac:dyDescent="0.25"/>
    <row r="109" spans="1:2" ht="15" customHeight="1" x14ac:dyDescent="0.25"/>
    <row r="110" spans="1:2" ht="15" customHeight="1" x14ac:dyDescent="0.25"/>
    <row r="111" spans="1:2" ht="15" customHeight="1" x14ac:dyDescent="0.25"/>
    <row r="112" spans="1:2" ht="15" customHeight="1" x14ac:dyDescent="0.25"/>
    <row r="113" spans="1:2" ht="15" customHeight="1" x14ac:dyDescent="0.25"/>
    <row r="114" spans="1:2" ht="15" customHeight="1" x14ac:dyDescent="0.25"/>
    <row r="115" spans="1:2" ht="15" customHeight="1" x14ac:dyDescent="0.25"/>
    <row r="116" spans="1:2" ht="15" customHeight="1" x14ac:dyDescent="0.25"/>
    <row r="117" spans="1:2" ht="15" customHeight="1" x14ac:dyDescent="0.25"/>
    <row r="118" spans="1:2" ht="15" customHeight="1" x14ac:dyDescent="0.25"/>
    <row r="119" spans="1:2" ht="15" customHeight="1" x14ac:dyDescent="0.25">
      <c r="A119" s="23" t="s">
        <v>271</v>
      </c>
      <c r="B119" s="24">
        <f>_xll.StatCorrelationCoeff(ST_StockholdersEquity,ST_RD)</f>
        <v>0.90303328436805763</v>
      </c>
    </row>
    <row r="120" spans="1:2" ht="15" customHeight="1" x14ac:dyDescent="0.25"/>
    <row r="121" spans="1:2" ht="15" customHeight="1" x14ac:dyDescent="0.25"/>
    <row r="122" spans="1:2" ht="15" customHeight="1" x14ac:dyDescent="0.25"/>
    <row r="123" spans="1:2" ht="15" customHeight="1" x14ac:dyDescent="0.25"/>
    <row r="124" spans="1:2" ht="15" customHeight="1" x14ac:dyDescent="0.25"/>
    <row r="125" spans="1:2" ht="15" customHeight="1" x14ac:dyDescent="0.25"/>
    <row r="126" spans="1:2" ht="15" customHeight="1" x14ac:dyDescent="0.25"/>
    <row r="127" spans="1:2" ht="15" customHeight="1" x14ac:dyDescent="0.25"/>
    <row r="128" spans="1:2"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sheetData>
  <pageMargins left="0.7" right="0.7" top="0.75" bottom="0.75" header="0.3" footer="0.3"/>
  <pageSetup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25</vt:i4>
      </vt:variant>
    </vt:vector>
  </HeadingPairs>
  <TitlesOfParts>
    <vt:vector size="30" baseType="lpstr">
      <vt:lpstr>Source</vt:lpstr>
      <vt:lpstr>Data</vt:lpstr>
      <vt:lpstr>_STDS_DG26EB08C4</vt:lpstr>
      <vt:lpstr>Correlations</vt:lpstr>
      <vt:lpstr>Scatterplot</vt:lpstr>
      <vt:lpstr>ST_AsofDate</vt:lpstr>
      <vt:lpstr>ST_CalculatedTaxRate</vt:lpstr>
      <vt:lpstr>ST_Company</vt:lpstr>
      <vt:lpstr>ST_CurrentAssets</vt:lpstr>
      <vt:lpstr>ST_CurrentLiabilities</vt:lpstr>
      <vt:lpstr>ST_CurrentRatio</vt:lpstr>
      <vt:lpstr>ST_EBITDA</vt:lpstr>
      <vt:lpstr>ST_EBITDAMargin</vt:lpstr>
      <vt:lpstr>ST_LogRD</vt:lpstr>
      <vt:lpstr>ST_LogTotalRevenue</vt:lpstr>
      <vt:lpstr>ST_LongTermDebt</vt:lpstr>
      <vt:lpstr>ST_NetCurrentAssetsTA</vt:lpstr>
      <vt:lpstr>ST_NetIncome</vt:lpstr>
      <vt:lpstr>ST_OperatingIncome</vt:lpstr>
      <vt:lpstr>ST_QuickRatio</vt:lpstr>
      <vt:lpstr>ST_RD</vt:lpstr>
      <vt:lpstr>ST_ROANet</vt:lpstr>
      <vt:lpstr>ST_ROENet</vt:lpstr>
      <vt:lpstr>ST_ROIOperating</vt:lpstr>
      <vt:lpstr>ST_StockholdersEquity</vt:lpstr>
      <vt:lpstr>ST_TotalAssets</vt:lpstr>
      <vt:lpstr>ST_TotalLiabilities</vt:lpstr>
      <vt:lpstr>ST_TotalRevenue</vt:lpstr>
      <vt:lpstr>Correlations!StatToolsHeader</vt:lpstr>
      <vt:lpstr>Scatterplot!StatToolsHeader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Mergent Online </dc:title>
  <cp:lastModifiedBy>Chris</cp:lastModifiedBy>
  <dcterms:created xsi:type="dcterms:W3CDTF">2010-02-12T21:35:58Z</dcterms:created>
  <dcterms:modified xsi:type="dcterms:W3CDTF">2012-10-12T18:29:57Z</dcterms:modified>
</cp:coreProperties>
</file>