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queryTables/queryTable2.xml" ContentType="application/vnd.openxmlformats-officedocument.spreadsheetml.queryTable+xml"/>
  <Override PartName="/xl/comments2.xml" ContentType="application/vnd.openxmlformats-officedocument.spreadsheetml.comments+xml"/>
  <Override PartName="/xl/pivotTables/pivotTable1.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showPivotChartFilter="1"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2" r:id="rId1"/>
    <sheet name="Data" sheetId="1" r:id="rId2"/>
    <sheet name="_STDS_DG2A60D2EA" sheetId="3" state="hidden" r:id="rId3"/>
    <sheet name="Correlations" sheetId="4" r:id="rId4"/>
    <sheet name="Data with Quartiles" sheetId="6" r:id="rId5"/>
    <sheet name="Pivot Table" sheetId="8" r:id="rId6"/>
  </sheets>
  <definedNames>
    <definedName name="_2009" localSheetId="1">Data!$A$3:$V$35</definedName>
    <definedName name="_2009" localSheetId="4">'Data with Quartiles'!$A$3:$V$35</definedName>
    <definedName name="opp" localSheetId="1">Data!#REF!</definedName>
    <definedName name="opp" localSheetId="4">'Data with Quartiles'!#REF!</definedName>
    <definedName name="opp_1" localSheetId="1">Data!#REF!</definedName>
    <definedName name="opp_1" localSheetId="4">'Data with Quartiles'!#REF!</definedName>
    <definedName name="PalisadeReportWorksheetCreatedBy" localSheetId="3" hidden="1">"StatTools"</definedName>
    <definedName name="ST_1stDowns" localSheetId="4">'Data with Quartiles'!$L$4:$L$195</definedName>
    <definedName name="ST_1stDowns">Data!$L$4:$L$195</definedName>
    <definedName name="ST_1stDownsAllowed" localSheetId="4">'Data with Quartiles'!$AN$4:$AN$195</definedName>
    <definedName name="ST_1stDownsAllowed">Data!$AN$4:$AN$195</definedName>
    <definedName name="ST_1stDownsPassing" localSheetId="4">'Data with Quartiles'!$Q$4:$Q$195</definedName>
    <definedName name="ST_1stDownsPassing">Data!$Q$4:$Q$195</definedName>
    <definedName name="ST_1stDownsPassingAllowed" localSheetId="4">'Data with Quartiles'!$AS$4:$AS$195</definedName>
    <definedName name="ST_1stDownsPassingAllowed">Data!$AS$4:$AS$195</definedName>
    <definedName name="ST_1stDownsRushing" localSheetId="4">'Data with Quartiles'!$X$4:$X$195</definedName>
    <definedName name="ST_1stDownsRushing">Data!$X$4:$X$195</definedName>
    <definedName name="ST_1stDownsRushingAllowed" localSheetId="4">'Data with Quartiles'!$AY$4:$AY$195</definedName>
    <definedName name="ST_1stDownsRushingAllowed">Data!$AY$4:$AY$195</definedName>
    <definedName name="ST_Completions" localSheetId="4">'Data with Quartiles'!$M$4:$M$195</definedName>
    <definedName name="ST_Completions">Data!$M$4:$M$195</definedName>
    <definedName name="ST_CompletionsAllowed" localSheetId="4">'Data with Quartiles'!$AO$4:$AO$195</definedName>
    <definedName name="ST_CompletionsAllowed">Data!$AO$4:$AO$195</definedName>
    <definedName name="ST_DSRS" localSheetId="4">'Data with Quartiles'!$H$4:$H$195</definedName>
    <definedName name="ST_DSRS">Data!$H$4:$H$195</definedName>
    <definedName name="ST_FGA039" localSheetId="4">'Data with Quartiles'!$AE$4:$AE$195</definedName>
    <definedName name="ST_FGA039">Data!$AE$4:$AE$195</definedName>
    <definedName name="ST_FGA40" localSheetId="4">'Data with Quartiles'!$AG$4:$AG$195</definedName>
    <definedName name="ST_FGA40">Data!$AG$4:$AG$195</definedName>
    <definedName name="ST_FGM039" localSheetId="4">'Data with Quartiles'!$AF$4:$AF$195</definedName>
    <definedName name="ST_FGM039">Data!$AF$4:$AF$195</definedName>
    <definedName name="ST_FGM40" localSheetId="4">'Data with Quartiles'!$AH$4:$AH$195</definedName>
    <definedName name="ST_FGM40">Data!$AH$4:$AH$195</definedName>
    <definedName name="ST_FumblesLost" localSheetId="4">'Data with Quartiles'!$Z$4:$Z$195</definedName>
    <definedName name="ST_FumblesLost">Data!$Z$4:$Z$195</definedName>
    <definedName name="ST_FumblesRecovered" localSheetId="4">'Data with Quartiles'!$BA$4:$BA$195</definedName>
    <definedName name="ST_FumblesRecovered">Data!$BA$4:$BA$195</definedName>
    <definedName name="ST_InterceptionsThrown" localSheetId="4">'Data with Quartiles'!$Y$4:$Y$195</definedName>
    <definedName name="ST_InterceptionsThrown">Data!$Y$4:$Y$195</definedName>
    <definedName name="ST_KickReturns" localSheetId="4">'Data with Quartiles'!$AC$4:$AC$195</definedName>
    <definedName name="ST_KickReturns">Data!$AC$4:$AC$195</definedName>
    <definedName name="ST_Losses" localSheetId="4">'Data with Quartiles'!$D$4:$D$195</definedName>
    <definedName name="ST_Losses">Data!$D$4:$D$195</definedName>
    <definedName name="ST_OSRS" localSheetId="4">'Data with Quartiles'!$G$4:$G$195</definedName>
    <definedName name="ST_OSRS">Data!$G$4:$G$195</definedName>
    <definedName name="ST_PassAttempts" localSheetId="4">'Data with Quartiles'!$N$4:$N$195</definedName>
    <definedName name="ST_PassAttempts">Data!$N$4:$N$195</definedName>
    <definedName name="ST_PassesIntercepted" localSheetId="4">'Data with Quartiles'!$AZ$4:$AZ$195</definedName>
    <definedName name="ST_PassesIntercepted">Data!$AZ$4:$AZ$195</definedName>
    <definedName name="ST_PassingAttemptsbyOpponents" localSheetId="4">'Data with Quartiles'!$AP$4:$AP$195</definedName>
    <definedName name="ST_PassingAttemptsbyOpponents">Data!$AP$4:$AP$195</definedName>
    <definedName name="ST_PassingTDs" localSheetId="4">'Data with Quartiles'!$P$4:$P$195</definedName>
    <definedName name="ST_PassingTDs">Data!$P$4:$P$195</definedName>
    <definedName name="ST_PassingTDsAllowed" localSheetId="4">'Data with Quartiles'!$AR$4:$AR$195</definedName>
    <definedName name="ST_PassingTDsAllowed">Data!$AR$4:$AR$195</definedName>
    <definedName name="ST_PassingYards" localSheetId="4">'Data with Quartiles'!$O$4:$O$195</definedName>
    <definedName name="ST_PassingYards">Data!$O$4:$O$195</definedName>
    <definedName name="ST_PassingYardsAllowed" localSheetId="4">'Data with Quartiles'!$AQ$4:$AQ$195</definedName>
    <definedName name="ST_PassingYardsAllowed">Data!$AQ$4:$AQ$195</definedName>
    <definedName name="ST_PlayoffTeam" localSheetId="4">'Data with Quartiles'!$E$4:$E$195</definedName>
    <definedName name="ST_PlayoffTeam">Data!$E$4:$E$195</definedName>
    <definedName name="ST_Plays" localSheetId="4">'Data with Quartiles'!$K$4:$K$195</definedName>
    <definedName name="ST_Plays">Data!$K$4:$K$195</definedName>
    <definedName name="ST_PlaysbyOpponent" localSheetId="4">'Data with Quartiles'!$AM$4:$AM$195</definedName>
    <definedName name="ST_PlaysbyOpponent">Data!$AM$4:$AM$195</definedName>
    <definedName name="ST_PointsAllowed" localSheetId="4">'Data with Quartiles'!$AK$4:$AK$195</definedName>
    <definedName name="ST_PointsAllowed">Data!$AK$4:$AK$195</definedName>
    <definedName name="ST_PointsScored" localSheetId="4">'Data with Quartiles'!$I$4:$I$195</definedName>
    <definedName name="ST_PointsScored">Data!$I$4:$I$195</definedName>
    <definedName name="ST_PuntReturns" localSheetId="4">'Data with Quartiles'!$AA$4:$AA$195</definedName>
    <definedName name="ST_PuntReturns">Data!$AA$4:$AA$195</definedName>
    <definedName name="ST_Punts" localSheetId="4">'Data with Quartiles'!$AI$4:$AI$195</definedName>
    <definedName name="ST_Punts">Data!$AI$4:$AI$195</definedName>
    <definedName name="ST_PuntYards" localSheetId="4">'Data with Quartiles'!$AJ$4:$AJ$195</definedName>
    <definedName name="ST_PuntYards">Data!$AJ$4:$AJ$195</definedName>
    <definedName name="ST_QBRating" localSheetId="4">'Data with Quartiles'!$R$4:$R$195</definedName>
    <definedName name="ST_QBRating">Data!$R$4:$R$195</definedName>
    <definedName name="ST_RushingAttempsbyOpponents" localSheetId="4">'Data with Quartiles'!$AV$4:$AV$195</definedName>
    <definedName name="ST_RushingAttempsbyOpponents">Data!$AV$4:$AV$195</definedName>
    <definedName name="ST_RushingAttempts" localSheetId="4">'Data with Quartiles'!$U$4:$U$195</definedName>
    <definedName name="ST_RushingAttempts">Data!$U$4:$U$195</definedName>
    <definedName name="ST_RushingTDs" localSheetId="4">'Data with Quartiles'!$W$4:$W$195</definedName>
    <definedName name="ST_RushingTDs">Data!$W$4:$W$195</definedName>
    <definedName name="ST_RushingTDsAllowed" localSheetId="4">'Data with Quartiles'!$AX$4:$AX$195</definedName>
    <definedName name="ST_RushingTDsAllowed">Data!$AX$4:$AX$195</definedName>
    <definedName name="ST_RushingYards" localSheetId="4">'Data with Quartiles'!$V$4:$V$195</definedName>
    <definedName name="ST_RushingYards">Data!$V$4:$V$195</definedName>
    <definedName name="ST_RushingYardsAllowed" localSheetId="4">'Data with Quartiles'!$AW$4:$AW$195</definedName>
    <definedName name="ST_RushingYardsAllowed">Data!$AW$4:$AW$195</definedName>
    <definedName name="ST_SacksAgainst" localSheetId="4">'Data with Quartiles'!$S$4:$S$195</definedName>
    <definedName name="ST_SacksAgainst">Data!$S$4:$S$195</definedName>
    <definedName name="ST_SacksCaused" localSheetId="4">'Data with Quartiles'!$AT$4:$AT$195</definedName>
    <definedName name="ST_SacksCaused">Data!$AT$4:$AT$195</definedName>
    <definedName name="ST_SackyardsAgainst" localSheetId="4">'Data with Quartiles'!$T$4:$T$195</definedName>
    <definedName name="ST_SackyardsAgainst">Data!$T$4:$T$195</definedName>
    <definedName name="ST_SackYardsCaused" localSheetId="4">'Data with Quartiles'!$AU$4:$AU$195</definedName>
    <definedName name="ST_SackYardsCaused">Data!$AU$4:$AU$195</definedName>
    <definedName name="ST_SRS" localSheetId="4">'Data with Quartiles'!$F$4:$F$195</definedName>
    <definedName name="ST_SRS">Data!$F$4:$F$195</definedName>
    <definedName name="ST_Team" localSheetId="4">'Data with Quartiles'!$A$4:$A$195</definedName>
    <definedName name="ST_Team">Data!$A$4:$A$195</definedName>
    <definedName name="ST_Wins" localSheetId="4">'Data with Quartiles'!$C$4:$C$195</definedName>
    <definedName name="ST_Wins">Data!$C$4:$C$195</definedName>
    <definedName name="ST_Yards" localSheetId="4">'Data with Quartiles'!$J$4:$J$195</definedName>
    <definedName name="ST_Yards">Data!$J$4:$J$195</definedName>
    <definedName name="ST_YardsAllowed" localSheetId="4">'Data with Quartiles'!$AL$4:$AL$195</definedName>
    <definedName name="ST_YardsAllowed">Data!$AL$4:$AL$195</definedName>
    <definedName name="ST_YardsKickReturns" localSheetId="4">'Data with Quartiles'!$AD$4:$AD$195</definedName>
    <definedName name="ST_YardsKickReturns">Data!$AD$4:$AD$195</definedName>
    <definedName name="ST_YardsPuntReturns" localSheetId="4">'Data with Quartiles'!$AB$4:$AB$195</definedName>
    <definedName name="ST_YardsPuntReturns">Data!$AB$4:$AB$195</definedName>
    <definedName name="ST_Year" localSheetId="4">'Data with Quartiles'!$B$4:$B$195</definedName>
    <definedName name="ST_Year">Data!$B$4:$B$195</definedName>
    <definedName name="StatToolsHeader" localSheetId="3">Correlations!$1:$5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46</definedName>
    <definedName name="STWBD_StatToolsCorrAndCovar_VariableList_1" hidden="1">"U_x0001_VG1405FBE737E7645F_x0001_"</definedName>
    <definedName name="STWBD_StatToolsCorrAndCovar_VariableList_10" hidden="1">"U_x0001_VG325706AC140FF0B3_x0001_"</definedName>
    <definedName name="STWBD_StatToolsCorrAndCovar_VariableList_11" hidden="1">"U_x0001_VG8F1D883A86D2AA_x0001_"</definedName>
    <definedName name="STWBD_StatToolsCorrAndCovar_VariableList_12" hidden="1">"U_x0001_VG2E6FFF3FAC56EEE_x0001_"</definedName>
    <definedName name="STWBD_StatToolsCorrAndCovar_VariableList_13" hidden="1">"U_x0001_VG2EB953743ADF2F8F_x0001_"</definedName>
    <definedName name="STWBD_StatToolsCorrAndCovar_VariableList_14" hidden="1">"U_x0001_VG1695B1B364D8E3A_x0001_"</definedName>
    <definedName name="STWBD_StatToolsCorrAndCovar_VariableList_15" hidden="1">"U_x0001_VG1ADAB16F279FBC7E_x0001_"</definedName>
    <definedName name="STWBD_StatToolsCorrAndCovar_VariableList_16" hidden="1">"U_x0001_VGC9A802C3812D9F4_x0001_"</definedName>
    <definedName name="STWBD_StatToolsCorrAndCovar_VariableList_17" hidden="1">"U_x0001_VG319CE404153F29F8_x0001_"</definedName>
    <definedName name="STWBD_StatToolsCorrAndCovar_VariableList_18" hidden="1">"U_x0001_VG34266E8A3AB1E6EB_x0001_"</definedName>
    <definedName name="STWBD_StatToolsCorrAndCovar_VariableList_19" hidden="1">"U_x0001_VG327EA361743EB99_x0001_"</definedName>
    <definedName name="STWBD_StatToolsCorrAndCovar_VariableList_2" hidden="1">"U_x0001_VG26B24162EA7BF5C_x0001_"</definedName>
    <definedName name="STWBD_StatToolsCorrAndCovar_VariableList_20" hidden="1">"U_x0001_VG17CB4908BEFEFCF_x0001_"</definedName>
    <definedName name="STWBD_StatToolsCorrAndCovar_VariableList_21" hidden="1">"U_x0001_VG5198E1A1955BB_x0001_"</definedName>
    <definedName name="STWBD_StatToolsCorrAndCovar_VariableList_22" hidden="1">"U_x0001_VGD68EE35226E7412_x0001_"</definedName>
    <definedName name="STWBD_StatToolsCorrAndCovar_VariableList_23" hidden="1">"U_x0001_VG2619227B1FCB6DA2_x0001_"</definedName>
    <definedName name="STWBD_StatToolsCorrAndCovar_VariableList_24" hidden="1">"U_x0001_VG11FD29E6229EDB51_x0001_"</definedName>
    <definedName name="STWBD_StatToolsCorrAndCovar_VariableList_25" hidden="1">"U_x0001_VGAA750471ED90E21_x0001_"</definedName>
    <definedName name="STWBD_StatToolsCorrAndCovar_VariableList_26" hidden="1">"U_x0001_VG2F2755402437940_x0001_"</definedName>
    <definedName name="STWBD_StatToolsCorrAndCovar_VariableList_27" hidden="1">"U_x0001_VG10D193051F2B0C4_x0001_"</definedName>
    <definedName name="STWBD_StatToolsCorrAndCovar_VariableList_28" hidden="1">"U_x0001_VG127813D10D1520F_x0001_"</definedName>
    <definedName name="STWBD_StatToolsCorrAndCovar_VariableList_29" hidden="1">"U_x0001_VGC2E8C529CF8B7A_x0001_"</definedName>
    <definedName name="STWBD_StatToolsCorrAndCovar_VariableList_3" hidden="1">"U_x0001_VG1295A12A3AA442ED_x0001_"</definedName>
    <definedName name="STWBD_StatToolsCorrAndCovar_VariableList_30" hidden="1">"U_x0001_VG289AA3B6204D6952_x0001_"</definedName>
    <definedName name="STWBD_StatToolsCorrAndCovar_VariableList_31" hidden="1">"U_x0001_VG2C8B296CC48A4B7_x0001_"</definedName>
    <definedName name="STWBD_StatToolsCorrAndCovar_VariableList_32" hidden="1">"U_x0001_VG1170D6ED22B17F6A_x0001_"</definedName>
    <definedName name="STWBD_StatToolsCorrAndCovar_VariableList_33" hidden="1">"U_x0001_VGF266277336DC21_x0001_"</definedName>
    <definedName name="STWBD_StatToolsCorrAndCovar_VariableList_34" hidden="1">"U_x0001_VG3547498E2367236B_x0001_"</definedName>
    <definedName name="STWBD_StatToolsCorrAndCovar_VariableList_35" hidden="1">"U_x0001_VG1472747235B63B6_x0001_"</definedName>
    <definedName name="STWBD_StatToolsCorrAndCovar_VariableList_36" hidden="1">"U_x0001_VG2BE33E140EAD88_x0001_"</definedName>
    <definedName name="STWBD_StatToolsCorrAndCovar_VariableList_37" hidden="1">"U_x0001_VG31C61BE7109A1376_x0001_"</definedName>
    <definedName name="STWBD_StatToolsCorrAndCovar_VariableList_38" hidden="1">"U_x0001_VG30C499A11F627FF6_x0001_"</definedName>
    <definedName name="STWBD_StatToolsCorrAndCovar_VariableList_39" hidden="1">"U_x0001_VG242DC654B206187_x0001_"</definedName>
    <definedName name="STWBD_StatToolsCorrAndCovar_VariableList_4" hidden="1">"U_x0001_VG2BA50FF21936A11_x0001_"</definedName>
    <definedName name="STWBD_StatToolsCorrAndCovar_VariableList_40" hidden="1">"U_x0001_VG28101BE11C95D258_x0001_"</definedName>
    <definedName name="STWBD_StatToolsCorrAndCovar_VariableList_41" hidden="1">"U_x0001_VG1B0362472E9CBCE3_x0001_"</definedName>
    <definedName name="STWBD_StatToolsCorrAndCovar_VariableList_42" hidden="1">"U_x0001_VG2BBFC2B6557A6_x0001_"</definedName>
    <definedName name="STWBD_StatToolsCorrAndCovar_VariableList_43" hidden="1">"U_x0001_VG14FB97937922E78_x0001_"</definedName>
    <definedName name="STWBD_StatToolsCorrAndCovar_VariableList_44" hidden="1">"U_x0001_VG39665CEF1F33CC92_x0001_"</definedName>
    <definedName name="STWBD_StatToolsCorrAndCovar_VariableList_45" hidden="1">"U_x0001_VG44A3471A630AD8_x0001_"</definedName>
    <definedName name="STWBD_StatToolsCorrAndCovar_VariableList_46" hidden="1">"U_x0001_VG1293A0781E0C7C76_x0001_"</definedName>
    <definedName name="STWBD_StatToolsCorrAndCovar_VariableList_5" hidden="1">"U_x0001_VG5429EDF2ACECCCB_x0001_"</definedName>
    <definedName name="STWBD_StatToolsCorrAndCovar_VariableList_6" hidden="1">"U_x0001_VG35BC7EE7423C452_x0001_"</definedName>
    <definedName name="STWBD_StatToolsCorrAndCovar_VariableList_7" hidden="1">"U_x0001_VG23B988B614A34401_x0001_"</definedName>
    <definedName name="STWBD_StatToolsCorrAndCovar_VariableList_8" hidden="1">"U_x0001_VG2EAFC19B16738DB8_x0001_"</definedName>
    <definedName name="STWBD_StatToolsCorrAndCovar_VariableList_9" hidden="1">"U_x0001_VG4342A7D414D3D_x0001_"</definedName>
    <definedName name="STWBD_StatToolsCorrAndCovar_VarSelectorDefaultDataSet" hidden="1">"DG2A60D2EA"</definedName>
  </definedNames>
  <calcPr calcId="152511"/>
  <pivotCaches>
    <pivotCache cacheId="31" r:id="rId7"/>
  </pivotCaches>
</workbook>
</file>

<file path=xl/calcChain.xml><?xml version="1.0" encoding="utf-8"?>
<calcChain xmlns="http://schemas.openxmlformats.org/spreadsheetml/2006/main">
  <c r="I4" i="6" l="1"/>
  <c r="J4" i="6"/>
  <c r="K4" i="6"/>
  <c r="L4" i="6"/>
  <c r="M4" i="6"/>
  <c r="N4" i="6"/>
  <c r="O4" i="6"/>
  <c r="P4" i="6"/>
  <c r="Q4" i="6"/>
  <c r="R4" i="6"/>
  <c r="S4" i="6"/>
  <c r="T4" i="6"/>
  <c r="U4" i="6"/>
  <c r="V4" i="6"/>
  <c r="W4" i="6"/>
  <c r="X4" i="6"/>
  <c r="Y4" i="6"/>
  <c r="Z4" i="6"/>
  <c r="AA4" i="6"/>
  <c r="AB4" i="6"/>
  <c r="AC4" i="6"/>
  <c r="AD4" i="6"/>
  <c r="AE4" i="6"/>
  <c r="AF4" i="6"/>
  <c r="AG4" i="6"/>
  <c r="AH4" i="6"/>
  <c r="AI4" i="6"/>
  <c r="AJ4" i="6"/>
  <c r="AK4" i="6"/>
  <c r="AL4" i="6"/>
  <c r="AM4" i="6"/>
  <c r="AN4" i="6"/>
  <c r="AO4" i="6"/>
  <c r="AP4" i="6"/>
  <c r="AQ4" i="6"/>
  <c r="AR4" i="6"/>
  <c r="AS4" i="6"/>
  <c r="AT4" i="6"/>
  <c r="AU4" i="6"/>
  <c r="AV4" i="6"/>
  <c r="AW4" i="6"/>
  <c r="AX4" i="6"/>
  <c r="AY4" i="6"/>
  <c r="AZ4" i="6"/>
  <c r="BA4" i="6"/>
  <c r="I5" i="6"/>
  <c r="J5" i="6"/>
  <c r="K5" i="6"/>
  <c r="L5" i="6"/>
  <c r="M5" i="6"/>
  <c r="N5" i="6"/>
  <c r="O5" i="6"/>
  <c r="P5" i="6"/>
  <c r="Q5" i="6"/>
  <c r="R5" i="6"/>
  <c r="S5" i="6"/>
  <c r="T5" i="6"/>
  <c r="U5" i="6"/>
  <c r="V5" i="6"/>
  <c r="W5" i="6"/>
  <c r="X5" i="6"/>
  <c r="Y5" i="6"/>
  <c r="Z5" i="6"/>
  <c r="AA5" i="6"/>
  <c r="AB5" i="6"/>
  <c r="AC5" i="6"/>
  <c r="AD5" i="6"/>
  <c r="AE5" i="6"/>
  <c r="AF5" i="6"/>
  <c r="AG5" i="6"/>
  <c r="AH5" i="6"/>
  <c r="AI5" i="6"/>
  <c r="AJ5" i="6"/>
  <c r="AK5" i="6"/>
  <c r="AL5" i="6"/>
  <c r="AM5" i="6"/>
  <c r="AN5" i="6"/>
  <c r="AO5" i="6"/>
  <c r="AP5" i="6"/>
  <c r="AQ5" i="6"/>
  <c r="AR5" i="6"/>
  <c r="AS5" i="6"/>
  <c r="AT5" i="6"/>
  <c r="AU5" i="6"/>
  <c r="AV5" i="6"/>
  <c r="AW5" i="6"/>
  <c r="AX5" i="6"/>
  <c r="AY5" i="6"/>
  <c r="AZ5" i="6"/>
  <c r="BA5" i="6"/>
  <c r="I6" i="6"/>
  <c r="J6" i="6"/>
  <c r="K6" i="6"/>
  <c r="L6" i="6"/>
  <c r="M6" i="6"/>
  <c r="N6" i="6"/>
  <c r="O6" i="6"/>
  <c r="P6" i="6"/>
  <c r="Q6" i="6"/>
  <c r="R6" i="6"/>
  <c r="S6" i="6"/>
  <c r="T6" i="6"/>
  <c r="U6" i="6"/>
  <c r="V6" i="6"/>
  <c r="W6" i="6"/>
  <c r="X6" i="6"/>
  <c r="Y6" i="6"/>
  <c r="Z6" i="6"/>
  <c r="AA6" i="6"/>
  <c r="AB6" i="6"/>
  <c r="AC6" i="6"/>
  <c r="AD6" i="6"/>
  <c r="AE6" i="6"/>
  <c r="AF6" i="6"/>
  <c r="AG6" i="6"/>
  <c r="AH6" i="6"/>
  <c r="AI6" i="6"/>
  <c r="AJ6" i="6"/>
  <c r="AK6" i="6"/>
  <c r="AL6" i="6"/>
  <c r="AM6" i="6"/>
  <c r="AN6" i="6"/>
  <c r="AO6" i="6"/>
  <c r="AP6" i="6"/>
  <c r="AQ6" i="6"/>
  <c r="AR6" i="6"/>
  <c r="AS6" i="6"/>
  <c r="AT6" i="6"/>
  <c r="AU6" i="6"/>
  <c r="AV6" i="6"/>
  <c r="AW6" i="6"/>
  <c r="AX6" i="6"/>
  <c r="AY6" i="6"/>
  <c r="AZ6" i="6"/>
  <c r="BA6" i="6"/>
  <c r="I7" i="6"/>
  <c r="J7" i="6"/>
  <c r="K7" i="6"/>
  <c r="L7" i="6"/>
  <c r="M7" i="6"/>
  <c r="N7" i="6"/>
  <c r="O7" i="6"/>
  <c r="P7" i="6"/>
  <c r="Q7" i="6"/>
  <c r="R7" i="6"/>
  <c r="S7" i="6"/>
  <c r="T7" i="6"/>
  <c r="U7" i="6"/>
  <c r="V7" i="6"/>
  <c r="W7" i="6"/>
  <c r="X7" i="6"/>
  <c r="Y7" i="6"/>
  <c r="Z7" i="6"/>
  <c r="AA7" i="6"/>
  <c r="AB7" i="6"/>
  <c r="AC7" i="6"/>
  <c r="AD7" i="6"/>
  <c r="AE7" i="6"/>
  <c r="AF7" i="6"/>
  <c r="AG7" i="6"/>
  <c r="AH7" i="6"/>
  <c r="AI7" i="6"/>
  <c r="AJ7" i="6"/>
  <c r="AK7" i="6"/>
  <c r="AL7" i="6"/>
  <c r="AM7" i="6"/>
  <c r="AN7" i="6"/>
  <c r="AO7" i="6"/>
  <c r="AP7" i="6"/>
  <c r="AQ7" i="6"/>
  <c r="AR7" i="6"/>
  <c r="AS7" i="6"/>
  <c r="AT7" i="6"/>
  <c r="AU7" i="6"/>
  <c r="AV7" i="6"/>
  <c r="AW7" i="6"/>
  <c r="AX7" i="6"/>
  <c r="AY7" i="6"/>
  <c r="AZ7" i="6"/>
  <c r="BA7"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I9" i="6"/>
  <c r="J9" i="6"/>
  <c r="K9" i="6"/>
  <c r="L9" i="6"/>
  <c r="M9" i="6"/>
  <c r="N9" i="6"/>
  <c r="O9" i="6"/>
  <c r="P9" i="6"/>
  <c r="Q9" i="6"/>
  <c r="R9" i="6"/>
  <c r="S9" i="6"/>
  <c r="T9" i="6"/>
  <c r="U9" i="6"/>
  <c r="V9" i="6"/>
  <c r="W9" i="6"/>
  <c r="X9" i="6"/>
  <c r="Y9" i="6"/>
  <c r="Z9" i="6"/>
  <c r="AA9" i="6"/>
  <c r="AB9" i="6"/>
  <c r="AC9" i="6"/>
  <c r="AD9" i="6"/>
  <c r="AE9" i="6"/>
  <c r="AF9" i="6"/>
  <c r="AG9" i="6"/>
  <c r="AH9" i="6"/>
  <c r="AI9" i="6"/>
  <c r="AJ9" i="6"/>
  <c r="AK9" i="6"/>
  <c r="AL9" i="6"/>
  <c r="AM9" i="6"/>
  <c r="AN9" i="6"/>
  <c r="AO9" i="6"/>
  <c r="AP9" i="6"/>
  <c r="AQ9" i="6"/>
  <c r="AR9" i="6"/>
  <c r="AS9" i="6"/>
  <c r="AT9" i="6"/>
  <c r="AU9" i="6"/>
  <c r="AV9" i="6"/>
  <c r="AW9" i="6"/>
  <c r="AX9" i="6"/>
  <c r="AY9" i="6"/>
  <c r="AZ9" i="6"/>
  <c r="BA9" i="6"/>
  <c r="I10" i="6"/>
  <c r="J10" i="6"/>
  <c r="K10" i="6"/>
  <c r="L10" i="6"/>
  <c r="M10" i="6"/>
  <c r="N10" i="6"/>
  <c r="O10" i="6"/>
  <c r="P10" i="6"/>
  <c r="Q10" i="6"/>
  <c r="R10" i="6"/>
  <c r="S10" i="6"/>
  <c r="T10" i="6"/>
  <c r="U10" i="6"/>
  <c r="V10" i="6"/>
  <c r="W10" i="6"/>
  <c r="X10" i="6"/>
  <c r="Y10" i="6"/>
  <c r="Z10" i="6"/>
  <c r="AA10" i="6"/>
  <c r="AB10" i="6"/>
  <c r="AC10" i="6"/>
  <c r="AD10" i="6"/>
  <c r="AE10" i="6"/>
  <c r="AF10" i="6"/>
  <c r="AG10" i="6"/>
  <c r="AH10" i="6"/>
  <c r="AI10" i="6"/>
  <c r="AJ10" i="6"/>
  <c r="AK10" i="6"/>
  <c r="AL10" i="6"/>
  <c r="AM10" i="6"/>
  <c r="AN10" i="6"/>
  <c r="AO10" i="6"/>
  <c r="AP10" i="6"/>
  <c r="AQ10" i="6"/>
  <c r="AR10" i="6"/>
  <c r="AS10" i="6"/>
  <c r="AT10" i="6"/>
  <c r="AU10" i="6"/>
  <c r="AV10" i="6"/>
  <c r="AW10" i="6"/>
  <c r="AX10" i="6"/>
  <c r="AY10" i="6"/>
  <c r="AZ10" i="6"/>
  <c r="BA10" i="6"/>
  <c r="I11" i="6"/>
  <c r="J11" i="6"/>
  <c r="K11" i="6"/>
  <c r="L11" i="6"/>
  <c r="M11" i="6"/>
  <c r="N11" i="6"/>
  <c r="O11" i="6"/>
  <c r="P11" i="6"/>
  <c r="Q11" i="6"/>
  <c r="R11" i="6"/>
  <c r="S11" i="6"/>
  <c r="T11" i="6"/>
  <c r="U11" i="6"/>
  <c r="V11" i="6"/>
  <c r="W11" i="6"/>
  <c r="X11" i="6"/>
  <c r="Y11" i="6"/>
  <c r="Z11" i="6"/>
  <c r="AA11" i="6"/>
  <c r="AB11" i="6"/>
  <c r="AC11" i="6"/>
  <c r="AD11" i="6"/>
  <c r="AE11" i="6"/>
  <c r="AF11" i="6"/>
  <c r="AG11" i="6"/>
  <c r="AH11" i="6"/>
  <c r="AI11" i="6"/>
  <c r="AJ11" i="6"/>
  <c r="AK11" i="6"/>
  <c r="AL11" i="6"/>
  <c r="AM11" i="6"/>
  <c r="AN11" i="6"/>
  <c r="AO11" i="6"/>
  <c r="AP11" i="6"/>
  <c r="AQ11" i="6"/>
  <c r="AR11" i="6"/>
  <c r="AS11" i="6"/>
  <c r="AT11" i="6"/>
  <c r="AU11" i="6"/>
  <c r="AV11" i="6"/>
  <c r="AW11" i="6"/>
  <c r="AX11" i="6"/>
  <c r="AY11" i="6"/>
  <c r="AZ11" i="6"/>
  <c r="BA11" i="6"/>
  <c r="I12" i="6"/>
  <c r="J12" i="6"/>
  <c r="K12" i="6"/>
  <c r="L12" i="6"/>
  <c r="M12" i="6"/>
  <c r="N12" i="6"/>
  <c r="O12" i="6"/>
  <c r="P12" i="6"/>
  <c r="Q12" i="6"/>
  <c r="R12" i="6"/>
  <c r="S12" i="6"/>
  <c r="T12" i="6"/>
  <c r="U12" i="6"/>
  <c r="V12" i="6"/>
  <c r="W12" i="6"/>
  <c r="X12" i="6"/>
  <c r="Y12" i="6"/>
  <c r="Z12" i="6"/>
  <c r="AA12" i="6"/>
  <c r="AB12" i="6"/>
  <c r="AC12" i="6"/>
  <c r="AD12" i="6"/>
  <c r="AE12" i="6"/>
  <c r="AF12" i="6"/>
  <c r="AG12" i="6"/>
  <c r="AH12" i="6"/>
  <c r="AI12" i="6"/>
  <c r="AJ12" i="6"/>
  <c r="AK12" i="6"/>
  <c r="AL12" i="6"/>
  <c r="AM12" i="6"/>
  <c r="AN12" i="6"/>
  <c r="AO12" i="6"/>
  <c r="AP12" i="6"/>
  <c r="AQ12" i="6"/>
  <c r="AR12" i="6"/>
  <c r="AS12" i="6"/>
  <c r="AT12" i="6"/>
  <c r="AU12" i="6"/>
  <c r="AV12" i="6"/>
  <c r="AW12" i="6"/>
  <c r="AX12" i="6"/>
  <c r="AY12" i="6"/>
  <c r="AZ12" i="6"/>
  <c r="BA12" i="6"/>
  <c r="I13" i="6"/>
  <c r="J13" i="6"/>
  <c r="K13" i="6"/>
  <c r="L13" i="6"/>
  <c r="M13" i="6"/>
  <c r="N13" i="6"/>
  <c r="O13" i="6"/>
  <c r="P13" i="6"/>
  <c r="Q13" i="6"/>
  <c r="R13" i="6"/>
  <c r="S13" i="6"/>
  <c r="T13" i="6"/>
  <c r="U13" i="6"/>
  <c r="V13" i="6"/>
  <c r="W13" i="6"/>
  <c r="X13" i="6"/>
  <c r="Y13" i="6"/>
  <c r="Z13" i="6"/>
  <c r="AA13" i="6"/>
  <c r="AB13" i="6"/>
  <c r="AC13" i="6"/>
  <c r="AD13" i="6"/>
  <c r="AE13" i="6"/>
  <c r="AF13" i="6"/>
  <c r="AG13" i="6"/>
  <c r="AH13" i="6"/>
  <c r="AI13" i="6"/>
  <c r="AJ13" i="6"/>
  <c r="AK13" i="6"/>
  <c r="AL13" i="6"/>
  <c r="AM13" i="6"/>
  <c r="AN13" i="6"/>
  <c r="AO13" i="6"/>
  <c r="AP13" i="6"/>
  <c r="AQ13" i="6"/>
  <c r="AR13" i="6"/>
  <c r="AS13" i="6"/>
  <c r="AT13" i="6"/>
  <c r="AU13" i="6"/>
  <c r="AV13" i="6"/>
  <c r="AW13" i="6"/>
  <c r="AX13" i="6"/>
  <c r="AY13" i="6"/>
  <c r="AZ13" i="6"/>
  <c r="BA13" i="6"/>
  <c r="I14" i="6"/>
  <c r="J14" i="6"/>
  <c r="K14" i="6"/>
  <c r="L14" i="6"/>
  <c r="M14" i="6"/>
  <c r="N14" i="6"/>
  <c r="O14" i="6"/>
  <c r="P14" i="6"/>
  <c r="Q14" i="6"/>
  <c r="R14" i="6"/>
  <c r="S14" i="6"/>
  <c r="T14" i="6"/>
  <c r="U14" i="6"/>
  <c r="V14" i="6"/>
  <c r="W14" i="6"/>
  <c r="X14" i="6"/>
  <c r="Y14" i="6"/>
  <c r="Z14" i="6"/>
  <c r="AA14" i="6"/>
  <c r="AB14" i="6"/>
  <c r="AC14" i="6"/>
  <c r="AD14" i="6"/>
  <c r="AE14" i="6"/>
  <c r="AF14" i="6"/>
  <c r="AG14" i="6"/>
  <c r="AH14" i="6"/>
  <c r="AI14" i="6"/>
  <c r="AJ14" i="6"/>
  <c r="AK14" i="6"/>
  <c r="AL14" i="6"/>
  <c r="AM14" i="6"/>
  <c r="AN14" i="6"/>
  <c r="AO14" i="6"/>
  <c r="AP14" i="6"/>
  <c r="AQ14" i="6"/>
  <c r="AR14" i="6"/>
  <c r="AS14" i="6"/>
  <c r="AT14" i="6"/>
  <c r="AU14" i="6"/>
  <c r="AV14" i="6"/>
  <c r="AW14" i="6"/>
  <c r="AX14" i="6"/>
  <c r="AY14" i="6"/>
  <c r="AZ14" i="6"/>
  <c r="BA14"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L15" i="6"/>
  <c r="AM15" i="6"/>
  <c r="AN15" i="6"/>
  <c r="AO15" i="6"/>
  <c r="AP15" i="6"/>
  <c r="AQ15" i="6"/>
  <c r="AR15" i="6"/>
  <c r="AS15" i="6"/>
  <c r="AT15" i="6"/>
  <c r="AU15" i="6"/>
  <c r="AV15" i="6"/>
  <c r="AW15" i="6"/>
  <c r="AX15" i="6"/>
  <c r="AY15" i="6"/>
  <c r="AZ15" i="6"/>
  <c r="BA15" i="6"/>
  <c r="I16" i="6"/>
  <c r="J16" i="6"/>
  <c r="K16" i="6"/>
  <c r="L16" i="6"/>
  <c r="M16" i="6"/>
  <c r="N16" i="6"/>
  <c r="O16" i="6"/>
  <c r="P16" i="6"/>
  <c r="Q16" i="6"/>
  <c r="R16" i="6"/>
  <c r="S16" i="6"/>
  <c r="T16" i="6"/>
  <c r="U16" i="6"/>
  <c r="V16" i="6"/>
  <c r="W16" i="6"/>
  <c r="X16" i="6"/>
  <c r="Y16" i="6"/>
  <c r="Z16" i="6"/>
  <c r="AA16" i="6"/>
  <c r="AB16" i="6"/>
  <c r="AC16" i="6"/>
  <c r="AD16" i="6"/>
  <c r="AE16" i="6"/>
  <c r="AF16" i="6"/>
  <c r="AG16" i="6"/>
  <c r="AH16" i="6"/>
  <c r="AI16" i="6"/>
  <c r="AJ16" i="6"/>
  <c r="AK16" i="6"/>
  <c r="AL16" i="6"/>
  <c r="AM16" i="6"/>
  <c r="AN16" i="6"/>
  <c r="AO16" i="6"/>
  <c r="AP16" i="6"/>
  <c r="AQ16" i="6"/>
  <c r="AR16" i="6"/>
  <c r="AS16" i="6"/>
  <c r="AT16" i="6"/>
  <c r="AU16" i="6"/>
  <c r="AV16" i="6"/>
  <c r="AW16" i="6"/>
  <c r="AX16" i="6"/>
  <c r="AY16" i="6"/>
  <c r="AZ16" i="6"/>
  <c r="BA16" i="6"/>
  <c r="I17" i="6"/>
  <c r="J17" i="6"/>
  <c r="K17" i="6"/>
  <c r="L17" i="6"/>
  <c r="M17" i="6"/>
  <c r="N17" i="6"/>
  <c r="O17" i="6"/>
  <c r="P17" i="6"/>
  <c r="Q17" i="6"/>
  <c r="R17" i="6"/>
  <c r="S17" i="6"/>
  <c r="T17" i="6"/>
  <c r="U17" i="6"/>
  <c r="V17" i="6"/>
  <c r="W17" i="6"/>
  <c r="X17" i="6"/>
  <c r="Y17" i="6"/>
  <c r="Z17" i="6"/>
  <c r="AA17" i="6"/>
  <c r="AB17" i="6"/>
  <c r="AC17" i="6"/>
  <c r="AD17" i="6"/>
  <c r="AE17" i="6"/>
  <c r="AF17" i="6"/>
  <c r="AG17" i="6"/>
  <c r="AH17" i="6"/>
  <c r="AI17" i="6"/>
  <c r="AJ17" i="6"/>
  <c r="AK17" i="6"/>
  <c r="AL17" i="6"/>
  <c r="AM17" i="6"/>
  <c r="AN17" i="6"/>
  <c r="AO17" i="6"/>
  <c r="AP17" i="6"/>
  <c r="AQ17" i="6"/>
  <c r="AR17" i="6"/>
  <c r="AS17" i="6"/>
  <c r="AT17" i="6"/>
  <c r="AU17" i="6"/>
  <c r="AV17" i="6"/>
  <c r="AW17" i="6"/>
  <c r="AX17" i="6"/>
  <c r="AY17" i="6"/>
  <c r="AZ17" i="6"/>
  <c r="BA17" i="6"/>
  <c r="I18" i="6"/>
  <c r="J18" i="6"/>
  <c r="K18" i="6"/>
  <c r="L18" i="6"/>
  <c r="M18" i="6"/>
  <c r="N18" i="6"/>
  <c r="O18" i="6"/>
  <c r="P18" i="6"/>
  <c r="Q18" i="6"/>
  <c r="R18" i="6"/>
  <c r="S18" i="6"/>
  <c r="T18" i="6"/>
  <c r="U18" i="6"/>
  <c r="V18" i="6"/>
  <c r="W18" i="6"/>
  <c r="X18" i="6"/>
  <c r="Y18" i="6"/>
  <c r="Z18" i="6"/>
  <c r="AA18" i="6"/>
  <c r="AB18" i="6"/>
  <c r="AC18" i="6"/>
  <c r="AD18" i="6"/>
  <c r="AE18" i="6"/>
  <c r="AF18" i="6"/>
  <c r="AG18" i="6"/>
  <c r="AH18" i="6"/>
  <c r="AI18" i="6"/>
  <c r="AJ18" i="6"/>
  <c r="AK18" i="6"/>
  <c r="AL18" i="6"/>
  <c r="AM18" i="6"/>
  <c r="AN18" i="6"/>
  <c r="AO18" i="6"/>
  <c r="AP18" i="6"/>
  <c r="AQ18" i="6"/>
  <c r="AR18" i="6"/>
  <c r="AS18" i="6"/>
  <c r="AT18" i="6"/>
  <c r="AU18" i="6"/>
  <c r="AV18" i="6"/>
  <c r="AW18" i="6"/>
  <c r="AX18" i="6"/>
  <c r="AY18" i="6"/>
  <c r="AZ18" i="6"/>
  <c r="BA18" i="6"/>
  <c r="I19" i="6"/>
  <c r="J19" i="6"/>
  <c r="K19" i="6"/>
  <c r="L19" i="6"/>
  <c r="M19" i="6"/>
  <c r="N19" i="6"/>
  <c r="O19" i="6"/>
  <c r="P19" i="6"/>
  <c r="Q19" i="6"/>
  <c r="R19" i="6"/>
  <c r="S19" i="6"/>
  <c r="T19" i="6"/>
  <c r="U19" i="6"/>
  <c r="V19" i="6"/>
  <c r="W19" i="6"/>
  <c r="X19" i="6"/>
  <c r="Y19" i="6"/>
  <c r="Z19" i="6"/>
  <c r="AA19" i="6"/>
  <c r="AB19" i="6"/>
  <c r="AC19" i="6"/>
  <c r="AD19" i="6"/>
  <c r="AE19" i="6"/>
  <c r="AF19" i="6"/>
  <c r="AG19" i="6"/>
  <c r="AH19" i="6"/>
  <c r="AI19" i="6"/>
  <c r="AJ19" i="6"/>
  <c r="AK19" i="6"/>
  <c r="AL19" i="6"/>
  <c r="AM19" i="6"/>
  <c r="AN19" i="6"/>
  <c r="AO19" i="6"/>
  <c r="AP19" i="6"/>
  <c r="AQ19" i="6"/>
  <c r="AR19" i="6"/>
  <c r="AS19" i="6"/>
  <c r="AT19" i="6"/>
  <c r="AU19" i="6"/>
  <c r="AV19" i="6"/>
  <c r="AW19" i="6"/>
  <c r="AX19" i="6"/>
  <c r="AY19" i="6"/>
  <c r="AZ19" i="6"/>
  <c r="BA19" i="6"/>
  <c r="I20" i="6"/>
  <c r="J20" i="6"/>
  <c r="K20" i="6"/>
  <c r="L20" i="6"/>
  <c r="M20" i="6"/>
  <c r="N20" i="6"/>
  <c r="O20" i="6"/>
  <c r="P20" i="6"/>
  <c r="Q20" i="6"/>
  <c r="R20" i="6"/>
  <c r="S20" i="6"/>
  <c r="T20" i="6"/>
  <c r="U20" i="6"/>
  <c r="V20" i="6"/>
  <c r="W20" i="6"/>
  <c r="X20" i="6"/>
  <c r="Y20" i="6"/>
  <c r="Z20" i="6"/>
  <c r="AA20" i="6"/>
  <c r="AB20" i="6"/>
  <c r="AC20" i="6"/>
  <c r="AD20" i="6"/>
  <c r="AE20" i="6"/>
  <c r="AF20" i="6"/>
  <c r="AG20" i="6"/>
  <c r="AH20" i="6"/>
  <c r="AI20" i="6"/>
  <c r="AJ20" i="6"/>
  <c r="AK20" i="6"/>
  <c r="AL20" i="6"/>
  <c r="AM20" i="6"/>
  <c r="AN20" i="6"/>
  <c r="AO20" i="6"/>
  <c r="AP20" i="6"/>
  <c r="AQ20" i="6"/>
  <c r="AR20" i="6"/>
  <c r="AS20" i="6"/>
  <c r="AT20" i="6"/>
  <c r="AU20" i="6"/>
  <c r="AV20" i="6"/>
  <c r="AW20" i="6"/>
  <c r="AX20" i="6"/>
  <c r="AY20" i="6"/>
  <c r="AZ20" i="6"/>
  <c r="BA20" i="6"/>
  <c r="I21" i="6"/>
  <c r="J21" i="6"/>
  <c r="K21" i="6"/>
  <c r="L21" i="6"/>
  <c r="M21" i="6"/>
  <c r="N21" i="6"/>
  <c r="O21" i="6"/>
  <c r="P21" i="6"/>
  <c r="Q21" i="6"/>
  <c r="R21" i="6"/>
  <c r="S21" i="6"/>
  <c r="T21" i="6"/>
  <c r="U21" i="6"/>
  <c r="V21" i="6"/>
  <c r="W21" i="6"/>
  <c r="X21" i="6"/>
  <c r="Y21" i="6"/>
  <c r="Z21" i="6"/>
  <c r="AA21" i="6"/>
  <c r="AB21" i="6"/>
  <c r="AC21" i="6"/>
  <c r="AD21" i="6"/>
  <c r="AE21" i="6"/>
  <c r="AF21" i="6"/>
  <c r="AG21" i="6"/>
  <c r="AH21" i="6"/>
  <c r="AI21" i="6"/>
  <c r="AJ21" i="6"/>
  <c r="AK21" i="6"/>
  <c r="AL21" i="6"/>
  <c r="AM21" i="6"/>
  <c r="AN21" i="6"/>
  <c r="AO21" i="6"/>
  <c r="AP21" i="6"/>
  <c r="AQ21" i="6"/>
  <c r="AR21" i="6"/>
  <c r="AS21" i="6"/>
  <c r="AT21" i="6"/>
  <c r="AU21" i="6"/>
  <c r="AV21" i="6"/>
  <c r="AW21" i="6"/>
  <c r="AX21" i="6"/>
  <c r="AY21" i="6"/>
  <c r="AZ21" i="6"/>
  <c r="BA21" i="6"/>
  <c r="I22" i="6"/>
  <c r="J22" i="6"/>
  <c r="K22" i="6"/>
  <c r="L22" i="6"/>
  <c r="M22" i="6"/>
  <c r="N22" i="6"/>
  <c r="O22" i="6"/>
  <c r="P22" i="6"/>
  <c r="Q22" i="6"/>
  <c r="R22" i="6"/>
  <c r="S22" i="6"/>
  <c r="T22" i="6"/>
  <c r="U22" i="6"/>
  <c r="V22" i="6"/>
  <c r="W22" i="6"/>
  <c r="X22" i="6"/>
  <c r="Y22" i="6"/>
  <c r="Z22" i="6"/>
  <c r="AA22" i="6"/>
  <c r="AB22" i="6"/>
  <c r="AC22" i="6"/>
  <c r="AD22" i="6"/>
  <c r="AE22" i="6"/>
  <c r="AF22" i="6"/>
  <c r="AG22" i="6"/>
  <c r="AH22" i="6"/>
  <c r="AI22" i="6"/>
  <c r="AJ22" i="6"/>
  <c r="AK22" i="6"/>
  <c r="AL22" i="6"/>
  <c r="AM22" i="6"/>
  <c r="AN22" i="6"/>
  <c r="AO22" i="6"/>
  <c r="AP22" i="6"/>
  <c r="AQ22" i="6"/>
  <c r="AR22" i="6"/>
  <c r="AS22" i="6"/>
  <c r="AT22" i="6"/>
  <c r="AU22" i="6"/>
  <c r="AV22" i="6"/>
  <c r="AW22" i="6"/>
  <c r="AX22" i="6"/>
  <c r="AY22" i="6"/>
  <c r="AZ22" i="6"/>
  <c r="BA22" i="6"/>
  <c r="I23" i="6"/>
  <c r="J23" i="6"/>
  <c r="K23" i="6"/>
  <c r="L23" i="6"/>
  <c r="M23" i="6"/>
  <c r="N23" i="6"/>
  <c r="O23" i="6"/>
  <c r="P23" i="6"/>
  <c r="Q23" i="6"/>
  <c r="R23" i="6"/>
  <c r="S23" i="6"/>
  <c r="T23" i="6"/>
  <c r="U23" i="6"/>
  <c r="V23" i="6"/>
  <c r="W23" i="6"/>
  <c r="X23" i="6"/>
  <c r="Y23" i="6"/>
  <c r="Z23" i="6"/>
  <c r="AA23" i="6"/>
  <c r="AB23" i="6"/>
  <c r="AC23" i="6"/>
  <c r="AD23" i="6"/>
  <c r="AE23" i="6"/>
  <c r="AF23" i="6"/>
  <c r="AG23" i="6"/>
  <c r="AH23" i="6"/>
  <c r="AI23" i="6"/>
  <c r="AJ23" i="6"/>
  <c r="AK23" i="6"/>
  <c r="AL23" i="6"/>
  <c r="AM23" i="6"/>
  <c r="AN23" i="6"/>
  <c r="AO23" i="6"/>
  <c r="AP23" i="6"/>
  <c r="AQ23" i="6"/>
  <c r="AR23" i="6"/>
  <c r="AS23" i="6"/>
  <c r="AT23" i="6"/>
  <c r="AU23" i="6"/>
  <c r="AV23" i="6"/>
  <c r="AW23" i="6"/>
  <c r="AX23" i="6"/>
  <c r="AY23" i="6"/>
  <c r="AZ23" i="6"/>
  <c r="BA23" i="6"/>
  <c r="I24" i="6"/>
  <c r="J24" i="6"/>
  <c r="K24" i="6"/>
  <c r="L24" i="6"/>
  <c r="M24" i="6"/>
  <c r="N24" i="6"/>
  <c r="O24" i="6"/>
  <c r="P24" i="6"/>
  <c r="Q24" i="6"/>
  <c r="R24" i="6"/>
  <c r="S24" i="6"/>
  <c r="T24" i="6"/>
  <c r="U24" i="6"/>
  <c r="V24" i="6"/>
  <c r="W24" i="6"/>
  <c r="X24" i="6"/>
  <c r="Y24" i="6"/>
  <c r="Z24" i="6"/>
  <c r="AA24" i="6"/>
  <c r="AB24" i="6"/>
  <c r="AC24" i="6"/>
  <c r="AD24" i="6"/>
  <c r="AE24" i="6"/>
  <c r="AF24" i="6"/>
  <c r="AG24" i="6"/>
  <c r="AH24" i="6"/>
  <c r="AI24" i="6"/>
  <c r="AJ24" i="6"/>
  <c r="AK24" i="6"/>
  <c r="AL24" i="6"/>
  <c r="AM24" i="6"/>
  <c r="AN24" i="6"/>
  <c r="AO24" i="6"/>
  <c r="AP24" i="6"/>
  <c r="AQ24" i="6"/>
  <c r="AR24" i="6"/>
  <c r="AS24" i="6"/>
  <c r="AT24" i="6"/>
  <c r="AU24" i="6"/>
  <c r="AV24" i="6"/>
  <c r="AW24" i="6"/>
  <c r="AX24" i="6"/>
  <c r="AY24" i="6"/>
  <c r="AZ24" i="6"/>
  <c r="BA24" i="6"/>
  <c r="I25" i="6"/>
  <c r="J25" i="6"/>
  <c r="K25" i="6"/>
  <c r="L25" i="6"/>
  <c r="M25" i="6"/>
  <c r="N25" i="6"/>
  <c r="O25" i="6"/>
  <c r="P25" i="6"/>
  <c r="Q25" i="6"/>
  <c r="R25" i="6"/>
  <c r="S25" i="6"/>
  <c r="T25" i="6"/>
  <c r="U25" i="6"/>
  <c r="V25" i="6"/>
  <c r="W25" i="6"/>
  <c r="X25" i="6"/>
  <c r="Y25" i="6"/>
  <c r="Z25" i="6"/>
  <c r="AA25" i="6"/>
  <c r="AB25" i="6"/>
  <c r="AC25" i="6"/>
  <c r="AD25" i="6"/>
  <c r="AE25" i="6"/>
  <c r="AF25" i="6"/>
  <c r="AG25" i="6"/>
  <c r="AH25" i="6"/>
  <c r="AI25" i="6"/>
  <c r="AJ25" i="6"/>
  <c r="AK25" i="6"/>
  <c r="AL25" i="6"/>
  <c r="AM25" i="6"/>
  <c r="AN25" i="6"/>
  <c r="AO25" i="6"/>
  <c r="AP25" i="6"/>
  <c r="AQ25" i="6"/>
  <c r="AR25" i="6"/>
  <c r="AS25" i="6"/>
  <c r="AT25" i="6"/>
  <c r="AU25" i="6"/>
  <c r="AV25" i="6"/>
  <c r="AW25" i="6"/>
  <c r="AX25" i="6"/>
  <c r="AY25" i="6"/>
  <c r="AZ25" i="6"/>
  <c r="BA25" i="6"/>
  <c r="I26" i="6"/>
  <c r="J26" i="6"/>
  <c r="K26" i="6"/>
  <c r="L26" i="6"/>
  <c r="M26" i="6"/>
  <c r="N26" i="6"/>
  <c r="O26" i="6"/>
  <c r="P26" i="6"/>
  <c r="Q26" i="6"/>
  <c r="R26" i="6"/>
  <c r="S26" i="6"/>
  <c r="T26" i="6"/>
  <c r="U26" i="6"/>
  <c r="V26" i="6"/>
  <c r="W26" i="6"/>
  <c r="X26" i="6"/>
  <c r="Y26" i="6"/>
  <c r="Z26" i="6"/>
  <c r="AA26" i="6"/>
  <c r="AB26" i="6"/>
  <c r="AC26" i="6"/>
  <c r="AD26" i="6"/>
  <c r="AE26" i="6"/>
  <c r="AF26" i="6"/>
  <c r="AG26" i="6"/>
  <c r="AH26" i="6"/>
  <c r="AI26" i="6"/>
  <c r="AJ26" i="6"/>
  <c r="AK26" i="6"/>
  <c r="AL26" i="6"/>
  <c r="AM26" i="6"/>
  <c r="AN26" i="6"/>
  <c r="AO26" i="6"/>
  <c r="AP26" i="6"/>
  <c r="AQ26" i="6"/>
  <c r="AR26" i="6"/>
  <c r="AS26" i="6"/>
  <c r="AT26" i="6"/>
  <c r="AU26" i="6"/>
  <c r="AV26" i="6"/>
  <c r="AW26" i="6"/>
  <c r="AX26" i="6"/>
  <c r="AY26" i="6"/>
  <c r="AZ26" i="6"/>
  <c r="BA26" i="6"/>
  <c r="I27" i="6"/>
  <c r="J27" i="6"/>
  <c r="K27" i="6"/>
  <c r="L27" i="6"/>
  <c r="M27" i="6"/>
  <c r="N27" i="6"/>
  <c r="O27" i="6"/>
  <c r="P27" i="6"/>
  <c r="Q27" i="6"/>
  <c r="R27" i="6"/>
  <c r="S27" i="6"/>
  <c r="T27" i="6"/>
  <c r="U27" i="6"/>
  <c r="V27" i="6"/>
  <c r="W27" i="6"/>
  <c r="X27" i="6"/>
  <c r="Y27" i="6"/>
  <c r="Z27" i="6"/>
  <c r="AA27" i="6"/>
  <c r="AB27" i="6"/>
  <c r="AC27" i="6"/>
  <c r="AD27" i="6"/>
  <c r="AE27" i="6"/>
  <c r="AF27" i="6"/>
  <c r="AG27" i="6"/>
  <c r="AH27" i="6"/>
  <c r="AI27" i="6"/>
  <c r="AJ27" i="6"/>
  <c r="AK27" i="6"/>
  <c r="AL27" i="6"/>
  <c r="AM27" i="6"/>
  <c r="AN27" i="6"/>
  <c r="AO27" i="6"/>
  <c r="AP27" i="6"/>
  <c r="AQ27" i="6"/>
  <c r="AR27" i="6"/>
  <c r="AS27" i="6"/>
  <c r="AT27" i="6"/>
  <c r="AU27" i="6"/>
  <c r="AV27" i="6"/>
  <c r="AW27" i="6"/>
  <c r="AX27" i="6"/>
  <c r="AY27" i="6"/>
  <c r="AZ27" i="6"/>
  <c r="BA27" i="6"/>
  <c r="I28" i="6"/>
  <c r="J28" i="6"/>
  <c r="K28" i="6"/>
  <c r="L28" i="6"/>
  <c r="M28" i="6"/>
  <c r="N28" i="6"/>
  <c r="O28" i="6"/>
  <c r="P28" i="6"/>
  <c r="Q28" i="6"/>
  <c r="R28" i="6"/>
  <c r="S28" i="6"/>
  <c r="T28" i="6"/>
  <c r="U28" i="6"/>
  <c r="V28" i="6"/>
  <c r="W28" i="6"/>
  <c r="X28" i="6"/>
  <c r="Y28" i="6"/>
  <c r="Z28" i="6"/>
  <c r="AA28" i="6"/>
  <c r="AB28" i="6"/>
  <c r="AC28" i="6"/>
  <c r="AD28" i="6"/>
  <c r="AE28" i="6"/>
  <c r="AF28" i="6"/>
  <c r="AG28" i="6"/>
  <c r="AH28" i="6"/>
  <c r="AI28" i="6"/>
  <c r="AJ28" i="6"/>
  <c r="AK28" i="6"/>
  <c r="AL28" i="6"/>
  <c r="AM28" i="6"/>
  <c r="AN28" i="6"/>
  <c r="AO28" i="6"/>
  <c r="AP28" i="6"/>
  <c r="AQ28" i="6"/>
  <c r="AR28" i="6"/>
  <c r="AS28" i="6"/>
  <c r="AT28" i="6"/>
  <c r="AU28" i="6"/>
  <c r="AV28" i="6"/>
  <c r="AW28" i="6"/>
  <c r="AX28" i="6"/>
  <c r="AY28" i="6"/>
  <c r="AZ28" i="6"/>
  <c r="BA28" i="6"/>
  <c r="I29" i="6"/>
  <c r="J29" i="6"/>
  <c r="K29" i="6"/>
  <c r="L29" i="6"/>
  <c r="M29" i="6"/>
  <c r="N29" i="6"/>
  <c r="O29" i="6"/>
  <c r="P29" i="6"/>
  <c r="Q29" i="6"/>
  <c r="R29" i="6"/>
  <c r="S29" i="6"/>
  <c r="T29" i="6"/>
  <c r="U29" i="6"/>
  <c r="V29" i="6"/>
  <c r="W29" i="6"/>
  <c r="X29" i="6"/>
  <c r="Y29" i="6"/>
  <c r="Z29" i="6"/>
  <c r="AA29" i="6"/>
  <c r="AB29" i="6"/>
  <c r="AC29" i="6"/>
  <c r="AD29" i="6"/>
  <c r="AE29" i="6"/>
  <c r="AF29" i="6"/>
  <c r="AG29" i="6"/>
  <c r="AH29" i="6"/>
  <c r="AI29" i="6"/>
  <c r="AJ29" i="6"/>
  <c r="AK29" i="6"/>
  <c r="AL29" i="6"/>
  <c r="AM29" i="6"/>
  <c r="AN29" i="6"/>
  <c r="AO29" i="6"/>
  <c r="AP29" i="6"/>
  <c r="AQ29" i="6"/>
  <c r="AR29" i="6"/>
  <c r="AS29" i="6"/>
  <c r="AT29" i="6"/>
  <c r="AU29" i="6"/>
  <c r="AV29" i="6"/>
  <c r="AW29" i="6"/>
  <c r="AX29" i="6"/>
  <c r="AY29" i="6"/>
  <c r="AZ29" i="6"/>
  <c r="BA29" i="6"/>
  <c r="I30" i="6"/>
  <c r="J30" i="6"/>
  <c r="K30" i="6"/>
  <c r="L30" i="6"/>
  <c r="M30" i="6"/>
  <c r="N30" i="6"/>
  <c r="O30" i="6"/>
  <c r="P30" i="6"/>
  <c r="Q30" i="6"/>
  <c r="R30" i="6"/>
  <c r="S30" i="6"/>
  <c r="T30" i="6"/>
  <c r="U30" i="6"/>
  <c r="V30" i="6"/>
  <c r="W30" i="6"/>
  <c r="X30" i="6"/>
  <c r="Y30" i="6"/>
  <c r="Z30" i="6"/>
  <c r="AA30" i="6"/>
  <c r="AB30" i="6"/>
  <c r="AC30" i="6"/>
  <c r="AD30" i="6"/>
  <c r="AE30" i="6"/>
  <c r="AF30" i="6"/>
  <c r="AG30" i="6"/>
  <c r="AH30" i="6"/>
  <c r="AI30" i="6"/>
  <c r="AJ30" i="6"/>
  <c r="AK30" i="6"/>
  <c r="AL30" i="6"/>
  <c r="AM30" i="6"/>
  <c r="AN30" i="6"/>
  <c r="AO30" i="6"/>
  <c r="AP30" i="6"/>
  <c r="AQ30" i="6"/>
  <c r="AR30" i="6"/>
  <c r="AS30" i="6"/>
  <c r="AT30" i="6"/>
  <c r="AU30" i="6"/>
  <c r="AV30" i="6"/>
  <c r="AW30" i="6"/>
  <c r="AX30" i="6"/>
  <c r="AY30" i="6"/>
  <c r="AZ30" i="6"/>
  <c r="BA30" i="6"/>
  <c r="I31" i="6"/>
  <c r="J31" i="6"/>
  <c r="K31" i="6"/>
  <c r="L31" i="6"/>
  <c r="M31" i="6"/>
  <c r="N31" i="6"/>
  <c r="O31" i="6"/>
  <c r="P31" i="6"/>
  <c r="Q31" i="6"/>
  <c r="R31" i="6"/>
  <c r="S31" i="6"/>
  <c r="T31" i="6"/>
  <c r="U31" i="6"/>
  <c r="V31" i="6"/>
  <c r="W31" i="6"/>
  <c r="X31" i="6"/>
  <c r="Y31" i="6"/>
  <c r="Z31" i="6"/>
  <c r="AA31" i="6"/>
  <c r="AB31" i="6"/>
  <c r="AC31" i="6"/>
  <c r="AD31" i="6"/>
  <c r="AE31" i="6"/>
  <c r="AF31" i="6"/>
  <c r="AG31" i="6"/>
  <c r="AH31" i="6"/>
  <c r="AI31" i="6"/>
  <c r="AJ31" i="6"/>
  <c r="AK31" i="6"/>
  <c r="AL31" i="6"/>
  <c r="AM31" i="6"/>
  <c r="AN31" i="6"/>
  <c r="AO31" i="6"/>
  <c r="AP31" i="6"/>
  <c r="AQ31" i="6"/>
  <c r="AR31" i="6"/>
  <c r="AS31" i="6"/>
  <c r="AT31" i="6"/>
  <c r="AU31" i="6"/>
  <c r="AV31" i="6"/>
  <c r="AW31" i="6"/>
  <c r="AX31" i="6"/>
  <c r="AY31" i="6"/>
  <c r="AZ31" i="6"/>
  <c r="BA31" i="6"/>
  <c r="I32" i="6"/>
  <c r="J32" i="6"/>
  <c r="K32" i="6"/>
  <c r="L32" i="6"/>
  <c r="M32" i="6"/>
  <c r="N32" i="6"/>
  <c r="O32" i="6"/>
  <c r="P32" i="6"/>
  <c r="Q32" i="6"/>
  <c r="R32" i="6"/>
  <c r="S32" i="6"/>
  <c r="T32" i="6"/>
  <c r="U32" i="6"/>
  <c r="V32" i="6"/>
  <c r="W32" i="6"/>
  <c r="X32" i="6"/>
  <c r="Y32" i="6"/>
  <c r="Z32" i="6"/>
  <c r="AA32" i="6"/>
  <c r="AB32" i="6"/>
  <c r="AC32" i="6"/>
  <c r="AD32" i="6"/>
  <c r="AE32" i="6"/>
  <c r="AF32" i="6"/>
  <c r="AG32" i="6"/>
  <c r="AH32" i="6"/>
  <c r="AI32" i="6"/>
  <c r="AJ32" i="6"/>
  <c r="AK32" i="6"/>
  <c r="AL32" i="6"/>
  <c r="AM32" i="6"/>
  <c r="AN32" i="6"/>
  <c r="AO32" i="6"/>
  <c r="AP32" i="6"/>
  <c r="AQ32" i="6"/>
  <c r="AR32" i="6"/>
  <c r="AS32" i="6"/>
  <c r="AT32" i="6"/>
  <c r="AU32" i="6"/>
  <c r="AV32" i="6"/>
  <c r="AW32" i="6"/>
  <c r="AX32" i="6"/>
  <c r="AY32" i="6"/>
  <c r="AZ32" i="6"/>
  <c r="BA32" i="6"/>
  <c r="I33" i="6"/>
  <c r="J33" i="6"/>
  <c r="K33" i="6"/>
  <c r="L33" i="6"/>
  <c r="M33" i="6"/>
  <c r="N33" i="6"/>
  <c r="O33" i="6"/>
  <c r="P33" i="6"/>
  <c r="Q33" i="6"/>
  <c r="R33" i="6"/>
  <c r="S33" i="6"/>
  <c r="T33" i="6"/>
  <c r="U33" i="6"/>
  <c r="V33" i="6"/>
  <c r="W33" i="6"/>
  <c r="X33" i="6"/>
  <c r="Y33" i="6"/>
  <c r="Z33" i="6"/>
  <c r="AA33" i="6"/>
  <c r="AB33" i="6"/>
  <c r="AC33" i="6"/>
  <c r="AD33" i="6"/>
  <c r="AE33" i="6"/>
  <c r="AF33" i="6"/>
  <c r="AG33" i="6"/>
  <c r="AH33" i="6"/>
  <c r="AI33" i="6"/>
  <c r="AJ33" i="6"/>
  <c r="AK33" i="6"/>
  <c r="AL33" i="6"/>
  <c r="AM33" i="6"/>
  <c r="AN33" i="6"/>
  <c r="AO33" i="6"/>
  <c r="AP33" i="6"/>
  <c r="AQ33" i="6"/>
  <c r="AR33" i="6"/>
  <c r="AS33" i="6"/>
  <c r="AT33" i="6"/>
  <c r="AU33" i="6"/>
  <c r="AV33" i="6"/>
  <c r="AW33" i="6"/>
  <c r="AX33" i="6"/>
  <c r="AY33" i="6"/>
  <c r="AZ33" i="6"/>
  <c r="BA33" i="6"/>
  <c r="I34" i="6"/>
  <c r="J34" i="6"/>
  <c r="K34" i="6"/>
  <c r="L34" i="6"/>
  <c r="M34" i="6"/>
  <c r="N34" i="6"/>
  <c r="O34" i="6"/>
  <c r="P34" i="6"/>
  <c r="Q34" i="6"/>
  <c r="R34" i="6"/>
  <c r="S34" i="6"/>
  <c r="T34" i="6"/>
  <c r="U34" i="6"/>
  <c r="V34" i="6"/>
  <c r="W34" i="6"/>
  <c r="X34" i="6"/>
  <c r="Y34" i="6"/>
  <c r="Z34" i="6"/>
  <c r="AA34" i="6"/>
  <c r="AB34" i="6"/>
  <c r="AC34" i="6"/>
  <c r="AD34" i="6"/>
  <c r="AE34" i="6"/>
  <c r="AF34" i="6"/>
  <c r="AG34" i="6"/>
  <c r="AH34" i="6"/>
  <c r="AI34" i="6"/>
  <c r="AJ34" i="6"/>
  <c r="AK34" i="6"/>
  <c r="AL34" i="6"/>
  <c r="AM34" i="6"/>
  <c r="AN34" i="6"/>
  <c r="AO34" i="6"/>
  <c r="AP34" i="6"/>
  <c r="AQ34" i="6"/>
  <c r="AR34" i="6"/>
  <c r="AS34" i="6"/>
  <c r="AT34" i="6"/>
  <c r="AU34" i="6"/>
  <c r="AV34" i="6"/>
  <c r="AW34" i="6"/>
  <c r="AX34" i="6"/>
  <c r="AY34" i="6"/>
  <c r="AZ34" i="6"/>
  <c r="BA34" i="6"/>
  <c r="I35" i="6"/>
  <c r="J35" i="6"/>
  <c r="K35" i="6"/>
  <c r="L35" i="6"/>
  <c r="M35" i="6"/>
  <c r="N35" i="6"/>
  <c r="O35" i="6"/>
  <c r="P35" i="6"/>
  <c r="Q35" i="6"/>
  <c r="R35" i="6"/>
  <c r="S35" i="6"/>
  <c r="T35" i="6"/>
  <c r="U35" i="6"/>
  <c r="V35" i="6"/>
  <c r="W35" i="6"/>
  <c r="X35" i="6"/>
  <c r="Y35" i="6"/>
  <c r="Z35" i="6"/>
  <c r="AA35" i="6"/>
  <c r="AB35" i="6"/>
  <c r="AC35" i="6"/>
  <c r="AD35" i="6"/>
  <c r="AE35" i="6"/>
  <c r="AF35" i="6"/>
  <c r="AG35" i="6"/>
  <c r="AH35" i="6"/>
  <c r="AI35" i="6"/>
  <c r="AJ35" i="6"/>
  <c r="AK35" i="6"/>
  <c r="AL35" i="6"/>
  <c r="AM35" i="6"/>
  <c r="AN35" i="6"/>
  <c r="AO35" i="6"/>
  <c r="AP35" i="6"/>
  <c r="AQ35" i="6"/>
  <c r="AR35" i="6"/>
  <c r="AS35" i="6"/>
  <c r="AT35" i="6"/>
  <c r="AU35" i="6"/>
  <c r="AV35" i="6"/>
  <c r="AW35" i="6"/>
  <c r="AX35" i="6"/>
  <c r="AY35" i="6"/>
  <c r="AZ35" i="6"/>
  <c r="BA35" i="6"/>
  <c r="I36" i="6"/>
  <c r="J36" i="6"/>
  <c r="K36" i="6"/>
  <c r="L36" i="6"/>
  <c r="M36" i="6"/>
  <c r="N36" i="6"/>
  <c r="O36" i="6"/>
  <c r="P36" i="6"/>
  <c r="Q36" i="6"/>
  <c r="R36" i="6"/>
  <c r="S36" i="6"/>
  <c r="T36" i="6"/>
  <c r="U36" i="6"/>
  <c r="V36" i="6"/>
  <c r="W36" i="6"/>
  <c r="X36" i="6"/>
  <c r="Y36" i="6"/>
  <c r="Z36" i="6"/>
  <c r="AA36" i="6"/>
  <c r="AB36" i="6"/>
  <c r="AC36" i="6"/>
  <c r="AD36" i="6"/>
  <c r="AE36" i="6"/>
  <c r="AF36" i="6"/>
  <c r="AG36" i="6"/>
  <c r="AH36" i="6"/>
  <c r="AI36" i="6"/>
  <c r="AJ36" i="6"/>
  <c r="AK36" i="6"/>
  <c r="AL36" i="6"/>
  <c r="AM36" i="6"/>
  <c r="AN36" i="6"/>
  <c r="AO36" i="6"/>
  <c r="AP36" i="6"/>
  <c r="AQ36" i="6"/>
  <c r="AR36" i="6"/>
  <c r="AS36" i="6"/>
  <c r="AT36" i="6"/>
  <c r="AU36" i="6"/>
  <c r="AV36" i="6"/>
  <c r="AW36" i="6"/>
  <c r="AX36" i="6"/>
  <c r="AY36" i="6"/>
  <c r="AZ36" i="6"/>
  <c r="BA36" i="6"/>
  <c r="I37" i="6"/>
  <c r="J37" i="6"/>
  <c r="K37" i="6"/>
  <c r="L37" i="6"/>
  <c r="M37" i="6"/>
  <c r="N37" i="6"/>
  <c r="O37" i="6"/>
  <c r="P37" i="6"/>
  <c r="Q37" i="6"/>
  <c r="R37" i="6"/>
  <c r="S37" i="6"/>
  <c r="T37" i="6"/>
  <c r="U37" i="6"/>
  <c r="V37" i="6"/>
  <c r="W37" i="6"/>
  <c r="X37" i="6"/>
  <c r="Y37" i="6"/>
  <c r="Z37" i="6"/>
  <c r="AA37" i="6"/>
  <c r="AB37" i="6"/>
  <c r="AC37" i="6"/>
  <c r="AD37" i="6"/>
  <c r="AE37" i="6"/>
  <c r="AF37" i="6"/>
  <c r="AG37" i="6"/>
  <c r="AH37" i="6"/>
  <c r="AI37" i="6"/>
  <c r="AJ37" i="6"/>
  <c r="AK37" i="6"/>
  <c r="AL37" i="6"/>
  <c r="AM37" i="6"/>
  <c r="AN37" i="6"/>
  <c r="AO37" i="6"/>
  <c r="AP37" i="6"/>
  <c r="AQ37" i="6"/>
  <c r="AR37" i="6"/>
  <c r="AS37" i="6"/>
  <c r="AT37" i="6"/>
  <c r="AU37" i="6"/>
  <c r="AV37" i="6"/>
  <c r="AW37" i="6"/>
  <c r="AX37" i="6"/>
  <c r="AY37" i="6"/>
  <c r="AZ37" i="6"/>
  <c r="BA37" i="6"/>
  <c r="I38" i="6"/>
  <c r="J38" i="6"/>
  <c r="K38" i="6"/>
  <c r="L38" i="6"/>
  <c r="M38" i="6"/>
  <c r="N38" i="6"/>
  <c r="O38" i="6"/>
  <c r="P38" i="6"/>
  <c r="Q38" i="6"/>
  <c r="R38" i="6"/>
  <c r="S38" i="6"/>
  <c r="T38" i="6"/>
  <c r="U38" i="6"/>
  <c r="V38" i="6"/>
  <c r="W38" i="6"/>
  <c r="X38" i="6"/>
  <c r="Y38" i="6"/>
  <c r="Z38" i="6"/>
  <c r="AA38" i="6"/>
  <c r="AB38" i="6"/>
  <c r="AC38" i="6"/>
  <c r="AD38" i="6"/>
  <c r="AE38" i="6"/>
  <c r="AF38" i="6"/>
  <c r="AG38" i="6"/>
  <c r="AH38" i="6"/>
  <c r="AI38" i="6"/>
  <c r="AJ38" i="6"/>
  <c r="AK38" i="6"/>
  <c r="AL38" i="6"/>
  <c r="AM38" i="6"/>
  <c r="AN38" i="6"/>
  <c r="AO38" i="6"/>
  <c r="AP38" i="6"/>
  <c r="AQ38" i="6"/>
  <c r="AR38" i="6"/>
  <c r="AS38" i="6"/>
  <c r="AT38" i="6"/>
  <c r="AU38" i="6"/>
  <c r="AV38" i="6"/>
  <c r="AW38" i="6"/>
  <c r="AX38" i="6"/>
  <c r="AY38" i="6"/>
  <c r="AZ38" i="6"/>
  <c r="BA38" i="6"/>
  <c r="I39" i="6"/>
  <c r="J39" i="6"/>
  <c r="K39" i="6"/>
  <c r="L39" i="6"/>
  <c r="M39" i="6"/>
  <c r="N39" i="6"/>
  <c r="O39" i="6"/>
  <c r="P39" i="6"/>
  <c r="Q39" i="6"/>
  <c r="R39" i="6"/>
  <c r="S39" i="6"/>
  <c r="T39" i="6"/>
  <c r="U39" i="6"/>
  <c r="V39" i="6"/>
  <c r="W39" i="6"/>
  <c r="X39" i="6"/>
  <c r="Y39" i="6"/>
  <c r="Z39" i="6"/>
  <c r="AA39" i="6"/>
  <c r="AB39" i="6"/>
  <c r="AC39" i="6"/>
  <c r="AD39" i="6"/>
  <c r="AE39" i="6"/>
  <c r="AF39" i="6"/>
  <c r="AG39" i="6"/>
  <c r="AH39" i="6"/>
  <c r="AI39" i="6"/>
  <c r="AJ39" i="6"/>
  <c r="AK39" i="6"/>
  <c r="AL39" i="6"/>
  <c r="AM39" i="6"/>
  <c r="AN39" i="6"/>
  <c r="AO39" i="6"/>
  <c r="AP39" i="6"/>
  <c r="AQ39" i="6"/>
  <c r="AR39" i="6"/>
  <c r="AS39" i="6"/>
  <c r="AT39" i="6"/>
  <c r="AU39" i="6"/>
  <c r="AV39" i="6"/>
  <c r="AW39" i="6"/>
  <c r="AX39" i="6"/>
  <c r="AY39" i="6"/>
  <c r="AZ39" i="6"/>
  <c r="BA39" i="6"/>
  <c r="I40" i="6"/>
  <c r="J40" i="6"/>
  <c r="K40" i="6"/>
  <c r="L40" i="6"/>
  <c r="M40" i="6"/>
  <c r="N40" i="6"/>
  <c r="O40" i="6"/>
  <c r="P40" i="6"/>
  <c r="Q40" i="6"/>
  <c r="R40" i="6"/>
  <c r="S40" i="6"/>
  <c r="T40" i="6"/>
  <c r="U40" i="6"/>
  <c r="V40" i="6"/>
  <c r="W40" i="6"/>
  <c r="X40" i="6"/>
  <c r="Y40" i="6"/>
  <c r="Z40" i="6"/>
  <c r="AA40" i="6"/>
  <c r="AB40" i="6"/>
  <c r="AC40" i="6"/>
  <c r="AD40" i="6"/>
  <c r="AE40" i="6"/>
  <c r="AF40" i="6"/>
  <c r="AG40" i="6"/>
  <c r="AH40" i="6"/>
  <c r="AI40" i="6"/>
  <c r="AJ40" i="6"/>
  <c r="AK40" i="6"/>
  <c r="AL40" i="6"/>
  <c r="AM40" i="6"/>
  <c r="AN40" i="6"/>
  <c r="AO40" i="6"/>
  <c r="AP40" i="6"/>
  <c r="AQ40" i="6"/>
  <c r="AR40" i="6"/>
  <c r="AS40" i="6"/>
  <c r="AT40" i="6"/>
  <c r="AU40" i="6"/>
  <c r="AV40" i="6"/>
  <c r="AW40" i="6"/>
  <c r="AX40" i="6"/>
  <c r="AY40" i="6"/>
  <c r="AZ40" i="6"/>
  <c r="BA40" i="6"/>
  <c r="I41" i="6"/>
  <c r="J41" i="6"/>
  <c r="K41" i="6"/>
  <c r="L41" i="6"/>
  <c r="M41" i="6"/>
  <c r="N41" i="6"/>
  <c r="O41" i="6"/>
  <c r="P41" i="6"/>
  <c r="Q41" i="6"/>
  <c r="R41" i="6"/>
  <c r="S41" i="6"/>
  <c r="T41" i="6"/>
  <c r="U41" i="6"/>
  <c r="V41" i="6"/>
  <c r="W41" i="6"/>
  <c r="X41" i="6"/>
  <c r="Y41" i="6"/>
  <c r="Z41" i="6"/>
  <c r="AA41" i="6"/>
  <c r="AB41" i="6"/>
  <c r="AC41" i="6"/>
  <c r="AD41" i="6"/>
  <c r="AE41" i="6"/>
  <c r="AF41" i="6"/>
  <c r="AG41" i="6"/>
  <c r="AH41" i="6"/>
  <c r="AI41" i="6"/>
  <c r="AJ41" i="6"/>
  <c r="AK41" i="6"/>
  <c r="AL41" i="6"/>
  <c r="AM41" i="6"/>
  <c r="AN41" i="6"/>
  <c r="AO41" i="6"/>
  <c r="AP41" i="6"/>
  <c r="AQ41" i="6"/>
  <c r="AR41" i="6"/>
  <c r="AS41" i="6"/>
  <c r="AT41" i="6"/>
  <c r="AU41" i="6"/>
  <c r="AV41" i="6"/>
  <c r="AW41" i="6"/>
  <c r="AX41" i="6"/>
  <c r="AY41" i="6"/>
  <c r="AZ41" i="6"/>
  <c r="BA41" i="6"/>
  <c r="I42" i="6"/>
  <c r="J42" i="6"/>
  <c r="K42" i="6"/>
  <c r="L42" i="6"/>
  <c r="M42" i="6"/>
  <c r="N42" i="6"/>
  <c r="O42" i="6"/>
  <c r="P42" i="6"/>
  <c r="Q42" i="6"/>
  <c r="R42" i="6"/>
  <c r="S42" i="6"/>
  <c r="T42" i="6"/>
  <c r="U42" i="6"/>
  <c r="V42" i="6"/>
  <c r="W42" i="6"/>
  <c r="X42" i="6"/>
  <c r="Y42" i="6"/>
  <c r="Z42" i="6"/>
  <c r="AA42" i="6"/>
  <c r="AB42" i="6"/>
  <c r="AC42" i="6"/>
  <c r="AD42" i="6"/>
  <c r="AE42" i="6"/>
  <c r="AF42" i="6"/>
  <c r="AG42" i="6"/>
  <c r="AH42" i="6"/>
  <c r="AI42" i="6"/>
  <c r="AJ42" i="6"/>
  <c r="AK42" i="6"/>
  <c r="AL42" i="6"/>
  <c r="AM42" i="6"/>
  <c r="AN42" i="6"/>
  <c r="AO42" i="6"/>
  <c r="AP42" i="6"/>
  <c r="AQ42" i="6"/>
  <c r="AR42" i="6"/>
  <c r="AS42" i="6"/>
  <c r="AT42" i="6"/>
  <c r="AU42" i="6"/>
  <c r="AV42" i="6"/>
  <c r="AW42" i="6"/>
  <c r="AX42" i="6"/>
  <c r="AY42" i="6"/>
  <c r="AZ42" i="6"/>
  <c r="BA42" i="6"/>
  <c r="I43" i="6"/>
  <c r="J43" i="6"/>
  <c r="K43" i="6"/>
  <c r="L43" i="6"/>
  <c r="M43" i="6"/>
  <c r="N43" i="6"/>
  <c r="O43" i="6"/>
  <c r="P43" i="6"/>
  <c r="Q43" i="6"/>
  <c r="R43" i="6"/>
  <c r="S43" i="6"/>
  <c r="T43" i="6"/>
  <c r="U43" i="6"/>
  <c r="V43" i="6"/>
  <c r="W43" i="6"/>
  <c r="X43" i="6"/>
  <c r="Y43" i="6"/>
  <c r="Z43" i="6"/>
  <c r="AA43" i="6"/>
  <c r="AB43" i="6"/>
  <c r="AC43" i="6"/>
  <c r="AD43" i="6"/>
  <c r="AE43" i="6"/>
  <c r="AF43" i="6"/>
  <c r="AG43" i="6"/>
  <c r="AH43" i="6"/>
  <c r="AI43" i="6"/>
  <c r="AJ43" i="6"/>
  <c r="AK43" i="6"/>
  <c r="AL43" i="6"/>
  <c r="AM43" i="6"/>
  <c r="AN43" i="6"/>
  <c r="AO43" i="6"/>
  <c r="AP43" i="6"/>
  <c r="AQ43" i="6"/>
  <c r="AR43" i="6"/>
  <c r="AS43" i="6"/>
  <c r="AT43" i="6"/>
  <c r="AU43" i="6"/>
  <c r="AV43" i="6"/>
  <c r="AW43" i="6"/>
  <c r="AX43" i="6"/>
  <c r="AY43" i="6"/>
  <c r="AZ43" i="6"/>
  <c r="BA43" i="6"/>
  <c r="I44" i="6"/>
  <c r="J44" i="6"/>
  <c r="K44" i="6"/>
  <c r="L44" i="6"/>
  <c r="M44" i="6"/>
  <c r="N44" i="6"/>
  <c r="O44" i="6"/>
  <c r="P44" i="6"/>
  <c r="Q44" i="6"/>
  <c r="R44" i="6"/>
  <c r="S44" i="6"/>
  <c r="T44" i="6"/>
  <c r="U44" i="6"/>
  <c r="V44" i="6"/>
  <c r="W44" i="6"/>
  <c r="X44" i="6"/>
  <c r="Y44" i="6"/>
  <c r="Z44" i="6"/>
  <c r="AA44" i="6"/>
  <c r="AB44" i="6"/>
  <c r="AC44" i="6"/>
  <c r="AD44" i="6"/>
  <c r="AE44" i="6"/>
  <c r="AF44" i="6"/>
  <c r="AG44" i="6"/>
  <c r="AH44" i="6"/>
  <c r="AI44" i="6"/>
  <c r="AJ44" i="6"/>
  <c r="AK44" i="6"/>
  <c r="AL44" i="6"/>
  <c r="AM44" i="6"/>
  <c r="AN44" i="6"/>
  <c r="AO44" i="6"/>
  <c r="AP44" i="6"/>
  <c r="AQ44" i="6"/>
  <c r="AR44" i="6"/>
  <c r="AS44" i="6"/>
  <c r="AT44" i="6"/>
  <c r="AU44" i="6"/>
  <c r="AV44" i="6"/>
  <c r="AW44" i="6"/>
  <c r="AX44" i="6"/>
  <c r="AY44" i="6"/>
  <c r="AZ44" i="6"/>
  <c r="BA44" i="6"/>
  <c r="I45" i="6"/>
  <c r="J45" i="6"/>
  <c r="K45" i="6"/>
  <c r="L45" i="6"/>
  <c r="M45" i="6"/>
  <c r="N45" i="6"/>
  <c r="O45" i="6"/>
  <c r="P45" i="6"/>
  <c r="Q45" i="6"/>
  <c r="R45" i="6"/>
  <c r="S45" i="6"/>
  <c r="T45" i="6"/>
  <c r="U45" i="6"/>
  <c r="V45" i="6"/>
  <c r="W45" i="6"/>
  <c r="X45" i="6"/>
  <c r="Y45" i="6"/>
  <c r="Z45" i="6"/>
  <c r="AA45" i="6"/>
  <c r="AB45" i="6"/>
  <c r="AC45" i="6"/>
  <c r="AD45" i="6"/>
  <c r="AE45" i="6"/>
  <c r="AF45" i="6"/>
  <c r="AG45" i="6"/>
  <c r="AH45" i="6"/>
  <c r="AI45" i="6"/>
  <c r="AJ45" i="6"/>
  <c r="AK45" i="6"/>
  <c r="AL45" i="6"/>
  <c r="AM45" i="6"/>
  <c r="AN45" i="6"/>
  <c r="AO45" i="6"/>
  <c r="AP45" i="6"/>
  <c r="AQ45" i="6"/>
  <c r="AR45" i="6"/>
  <c r="AS45" i="6"/>
  <c r="AT45" i="6"/>
  <c r="AU45" i="6"/>
  <c r="AV45" i="6"/>
  <c r="AW45" i="6"/>
  <c r="AX45" i="6"/>
  <c r="AY45" i="6"/>
  <c r="AZ45" i="6"/>
  <c r="BA45" i="6"/>
  <c r="I46" i="6"/>
  <c r="J46" i="6"/>
  <c r="K46" i="6"/>
  <c r="L46" i="6"/>
  <c r="M46" i="6"/>
  <c r="N46" i="6"/>
  <c r="O46" i="6"/>
  <c r="P46" i="6"/>
  <c r="Q46" i="6"/>
  <c r="R46" i="6"/>
  <c r="S46" i="6"/>
  <c r="T46" i="6"/>
  <c r="U46" i="6"/>
  <c r="V46" i="6"/>
  <c r="W46" i="6"/>
  <c r="X46" i="6"/>
  <c r="Y46" i="6"/>
  <c r="Z46" i="6"/>
  <c r="AA46" i="6"/>
  <c r="AB46" i="6"/>
  <c r="AC46" i="6"/>
  <c r="AD46" i="6"/>
  <c r="AE46" i="6"/>
  <c r="AF46" i="6"/>
  <c r="AG46" i="6"/>
  <c r="AH46" i="6"/>
  <c r="AI46" i="6"/>
  <c r="AJ46" i="6"/>
  <c r="AK46" i="6"/>
  <c r="AL46" i="6"/>
  <c r="AM46" i="6"/>
  <c r="AN46" i="6"/>
  <c r="AO46" i="6"/>
  <c r="AP46" i="6"/>
  <c r="AQ46" i="6"/>
  <c r="AR46" i="6"/>
  <c r="AS46" i="6"/>
  <c r="AT46" i="6"/>
  <c r="AU46" i="6"/>
  <c r="AV46" i="6"/>
  <c r="AW46" i="6"/>
  <c r="AX46" i="6"/>
  <c r="AY46" i="6"/>
  <c r="AZ46" i="6"/>
  <c r="BA46" i="6"/>
  <c r="I47" i="6"/>
  <c r="J47" i="6"/>
  <c r="K47" i="6"/>
  <c r="L47" i="6"/>
  <c r="M47" i="6"/>
  <c r="N47" i="6"/>
  <c r="O47" i="6"/>
  <c r="P47" i="6"/>
  <c r="Q47" i="6"/>
  <c r="R47" i="6"/>
  <c r="S47" i="6"/>
  <c r="T47" i="6"/>
  <c r="U47" i="6"/>
  <c r="V47" i="6"/>
  <c r="W47" i="6"/>
  <c r="X47" i="6"/>
  <c r="Y47" i="6"/>
  <c r="Z47" i="6"/>
  <c r="AA47" i="6"/>
  <c r="AB47" i="6"/>
  <c r="AC47" i="6"/>
  <c r="AD47" i="6"/>
  <c r="AE47" i="6"/>
  <c r="AF47" i="6"/>
  <c r="AG47" i="6"/>
  <c r="AH47" i="6"/>
  <c r="AI47" i="6"/>
  <c r="AJ47" i="6"/>
  <c r="AK47" i="6"/>
  <c r="AL47" i="6"/>
  <c r="AM47" i="6"/>
  <c r="AN47" i="6"/>
  <c r="AO47" i="6"/>
  <c r="AP47" i="6"/>
  <c r="AQ47" i="6"/>
  <c r="AR47" i="6"/>
  <c r="AS47" i="6"/>
  <c r="AT47" i="6"/>
  <c r="AU47" i="6"/>
  <c r="AV47" i="6"/>
  <c r="AW47" i="6"/>
  <c r="AX47" i="6"/>
  <c r="AY47" i="6"/>
  <c r="AZ47" i="6"/>
  <c r="BA47" i="6"/>
  <c r="I48" i="6"/>
  <c r="J48" i="6"/>
  <c r="K48" i="6"/>
  <c r="L48" i="6"/>
  <c r="M48" i="6"/>
  <c r="N48" i="6"/>
  <c r="O48" i="6"/>
  <c r="P48" i="6"/>
  <c r="Q48" i="6"/>
  <c r="R48" i="6"/>
  <c r="S48" i="6"/>
  <c r="T48" i="6"/>
  <c r="U48" i="6"/>
  <c r="V48" i="6"/>
  <c r="W48" i="6"/>
  <c r="X48" i="6"/>
  <c r="Y48" i="6"/>
  <c r="Z48" i="6"/>
  <c r="AA48" i="6"/>
  <c r="AB48" i="6"/>
  <c r="AC48" i="6"/>
  <c r="AD48" i="6"/>
  <c r="AE48" i="6"/>
  <c r="AF48" i="6"/>
  <c r="AG48" i="6"/>
  <c r="AH48" i="6"/>
  <c r="AI48" i="6"/>
  <c r="AJ48" i="6"/>
  <c r="AK48" i="6"/>
  <c r="AL48" i="6"/>
  <c r="AM48" i="6"/>
  <c r="AN48" i="6"/>
  <c r="AO48" i="6"/>
  <c r="AP48" i="6"/>
  <c r="AQ48" i="6"/>
  <c r="AR48" i="6"/>
  <c r="AS48" i="6"/>
  <c r="AT48" i="6"/>
  <c r="AU48" i="6"/>
  <c r="AV48" i="6"/>
  <c r="AW48" i="6"/>
  <c r="AX48" i="6"/>
  <c r="AY48" i="6"/>
  <c r="AZ48" i="6"/>
  <c r="BA48" i="6"/>
  <c r="I49" i="6"/>
  <c r="J49" i="6"/>
  <c r="K49" i="6"/>
  <c r="L49" i="6"/>
  <c r="M49" i="6"/>
  <c r="N49" i="6"/>
  <c r="O49" i="6"/>
  <c r="P49" i="6"/>
  <c r="Q49" i="6"/>
  <c r="R49" i="6"/>
  <c r="S49" i="6"/>
  <c r="T49" i="6"/>
  <c r="U49" i="6"/>
  <c r="V49" i="6"/>
  <c r="W49" i="6"/>
  <c r="X49" i="6"/>
  <c r="Y49" i="6"/>
  <c r="Z49" i="6"/>
  <c r="AA49" i="6"/>
  <c r="AB49" i="6"/>
  <c r="AC49" i="6"/>
  <c r="AD49" i="6"/>
  <c r="AE49" i="6"/>
  <c r="AF49" i="6"/>
  <c r="AG49" i="6"/>
  <c r="AH49" i="6"/>
  <c r="AI49" i="6"/>
  <c r="AJ49" i="6"/>
  <c r="AK49" i="6"/>
  <c r="AL49" i="6"/>
  <c r="AM49" i="6"/>
  <c r="AN49" i="6"/>
  <c r="AO49" i="6"/>
  <c r="AP49" i="6"/>
  <c r="AQ49" i="6"/>
  <c r="AR49" i="6"/>
  <c r="AS49" i="6"/>
  <c r="AT49" i="6"/>
  <c r="AU49" i="6"/>
  <c r="AV49" i="6"/>
  <c r="AW49" i="6"/>
  <c r="AX49" i="6"/>
  <c r="AY49" i="6"/>
  <c r="AZ49" i="6"/>
  <c r="BA49" i="6"/>
  <c r="I50" i="6"/>
  <c r="J50" i="6"/>
  <c r="K50" i="6"/>
  <c r="L50" i="6"/>
  <c r="M50" i="6"/>
  <c r="N50" i="6"/>
  <c r="O50" i="6"/>
  <c r="P50" i="6"/>
  <c r="Q50" i="6"/>
  <c r="R50" i="6"/>
  <c r="S50" i="6"/>
  <c r="T50" i="6"/>
  <c r="U50" i="6"/>
  <c r="V50" i="6"/>
  <c r="W50" i="6"/>
  <c r="X50" i="6"/>
  <c r="Y50" i="6"/>
  <c r="Z50" i="6"/>
  <c r="AA50" i="6"/>
  <c r="AB50" i="6"/>
  <c r="AC50" i="6"/>
  <c r="AD50" i="6"/>
  <c r="AE50" i="6"/>
  <c r="AF50" i="6"/>
  <c r="AG50" i="6"/>
  <c r="AH50" i="6"/>
  <c r="AI50" i="6"/>
  <c r="AJ50" i="6"/>
  <c r="AK50" i="6"/>
  <c r="AL50" i="6"/>
  <c r="AM50" i="6"/>
  <c r="AN50" i="6"/>
  <c r="AO50" i="6"/>
  <c r="AP50" i="6"/>
  <c r="AQ50" i="6"/>
  <c r="AR50" i="6"/>
  <c r="AS50" i="6"/>
  <c r="AT50" i="6"/>
  <c r="AU50" i="6"/>
  <c r="AV50" i="6"/>
  <c r="AW50" i="6"/>
  <c r="AX50" i="6"/>
  <c r="AY50" i="6"/>
  <c r="AZ50" i="6"/>
  <c r="BA50" i="6"/>
  <c r="I51" i="6"/>
  <c r="J51" i="6"/>
  <c r="K51" i="6"/>
  <c r="L51" i="6"/>
  <c r="M51" i="6"/>
  <c r="N51" i="6"/>
  <c r="O51" i="6"/>
  <c r="P51" i="6"/>
  <c r="Q51" i="6"/>
  <c r="R51" i="6"/>
  <c r="S51" i="6"/>
  <c r="T51" i="6"/>
  <c r="U51" i="6"/>
  <c r="V51" i="6"/>
  <c r="W51" i="6"/>
  <c r="X51" i="6"/>
  <c r="Y51" i="6"/>
  <c r="Z51" i="6"/>
  <c r="AA51" i="6"/>
  <c r="AB51" i="6"/>
  <c r="AC51" i="6"/>
  <c r="AD51" i="6"/>
  <c r="AE51" i="6"/>
  <c r="AF51" i="6"/>
  <c r="AG51" i="6"/>
  <c r="AH51" i="6"/>
  <c r="AI51" i="6"/>
  <c r="AJ51" i="6"/>
  <c r="AK51" i="6"/>
  <c r="AL51" i="6"/>
  <c r="AM51" i="6"/>
  <c r="AN51" i="6"/>
  <c r="AO51" i="6"/>
  <c r="AP51" i="6"/>
  <c r="AQ51" i="6"/>
  <c r="AR51" i="6"/>
  <c r="AS51" i="6"/>
  <c r="AT51" i="6"/>
  <c r="AU51" i="6"/>
  <c r="AV51" i="6"/>
  <c r="AW51" i="6"/>
  <c r="AX51" i="6"/>
  <c r="AY51" i="6"/>
  <c r="AZ51" i="6"/>
  <c r="BA51" i="6"/>
  <c r="I52" i="6"/>
  <c r="J52" i="6"/>
  <c r="K52" i="6"/>
  <c r="L52" i="6"/>
  <c r="M52" i="6"/>
  <c r="N52" i="6"/>
  <c r="O52" i="6"/>
  <c r="P52" i="6"/>
  <c r="Q52" i="6"/>
  <c r="R52" i="6"/>
  <c r="S52" i="6"/>
  <c r="T52" i="6"/>
  <c r="U52" i="6"/>
  <c r="V52" i="6"/>
  <c r="W52" i="6"/>
  <c r="X52" i="6"/>
  <c r="Y52" i="6"/>
  <c r="Z52" i="6"/>
  <c r="AA52" i="6"/>
  <c r="AB52" i="6"/>
  <c r="AC52" i="6"/>
  <c r="AD52" i="6"/>
  <c r="AE52" i="6"/>
  <c r="AF52" i="6"/>
  <c r="AG52" i="6"/>
  <c r="AH52" i="6"/>
  <c r="AI52" i="6"/>
  <c r="AJ52" i="6"/>
  <c r="AK52" i="6"/>
  <c r="AL52" i="6"/>
  <c r="AM52" i="6"/>
  <c r="AN52" i="6"/>
  <c r="AO52" i="6"/>
  <c r="AP52" i="6"/>
  <c r="AQ52" i="6"/>
  <c r="AR52" i="6"/>
  <c r="AS52" i="6"/>
  <c r="AT52" i="6"/>
  <c r="AU52" i="6"/>
  <c r="AV52" i="6"/>
  <c r="AW52" i="6"/>
  <c r="AX52" i="6"/>
  <c r="AY52" i="6"/>
  <c r="AZ52" i="6"/>
  <c r="BA52" i="6"/>
  <c r="I53" i="6"/>
  <c r="J53" i="6"/>
  <c r="K53" i="6"/>
  <c r="L53" i="6"/>
  <c r="M53" i="6"/>
  <c r="N53" i="6"/>
  <c r="O53" i="6"/>
  <c r="P53" i="6"/>
  <c r="Q53" i="6"/>
  <c r="R53" i="6"/>
  <c r="S53" i="6"/>
  <c r="T53" i="6"/>
  <c r="U53" i="6"/>
  <c r="V53" i="6"/>
  <c r="W53" i="6"/>
  <c r="X53" i="6"/>
  <c r="Y53" i="6"/>
  <c r="Z53" i="6"/>
  <c r="AA53" i="6"/>
  <c r="AB53" i="6"/>
  <c r="AC53" i="6"/>
  <c r="AD53" i="6"/>
  <c r="AE53" i="6"/>
  <c r="AF53" i="6"/>
  <c r="AG53" i="6"/>
  <c r="AH53" i="6"/>
  <c r="AI53" i="6"/>
  <c r="AJ53" i="6"/>
  <c r="AK53" i="6"/>
  <c r="AL53" i="6"/>
  <c r="AM53" i="6"/>
  <c r="AN53" i="6"/>
  <c r="AO53" i="6"/>
  <c r="AP53" i="6"/>
  <c r="AQ53" i="6"/>
  <c r="AR53" i="6"/>
  <c r="AS53" i="6"/>
  <c r="AT53" i="6"/>
  <c r="AU53" i="6"/>
  <c r="AV53" i="6"/>
  <c r="AW53" i="6"/>
  <c r="AX53" i="6"/>
  <c r="AY53" i="6"/>
  <c r="AZ53" i="6"/>
  <c r="BA53" i="6"/>
  <c r="I54" i="6"/>
  <c r="J54" i="6"/>
  <c r="K54" i="6"/>
  <c r="L54" i="6"/>
  <c r="M54" i="6"/>
  <c r="N54" i="6"/>
  <c r="O54" i="6"/>
  <c r="P54" i="6"/>
  <c r="Q54" i="6"/>
  <c r="R54" i="6"/>
  <c r="S54" i="6"/>
  <c r="T54" i="6"/>
  <c r="U54" i="6"/>
  <c r="V54" i="6"/>
  <c r="W54" i="6"/>
  <c r="X54" i="6"/>
  <c r="Y54" i="6"/>
  <c r="Z54" i="6"/>
  <c r="AA54" i="6"/>
  <c r="AB54" i="6"/>
  <c r="AC54" i="6"/>
  <c r="AD54" i="6"/>
  <c r="AE54" i="6"/>
  <c r="AF54" i="6"/>
  <c r="AG54" i="6"/>
  <c r="AH54" i="6"/>
  <c r="AI54" i="6"/>
  <c r="AJ54" i="6"/>
  <c r="AK54" i="6"/>
  <c r="AL54" i="6"/>
  <c r="AM54" i="6"/>
  <c r="AN54" i="6"/>
  <c r="AO54" i="6"/>
  <c r="AP54" i="6"/>
  <c r="AQ54" i="6"/>
  <c r="AR54" i="6"/>
  <c r="AS54" i="6"/>
  <c r="AT54" i="6"/>
  <c r="AU54" i="6"/>
  <c r="AV54" i="6"/>
  <c r="AW54" i="6"/>
  <c r="AX54" i="6"/>
  <c r="AY54" i="6"/>
  <c r="AZ54" i="6"/>
  <c r="BA54" i="6"/>
  <c r="I55" i="6"/>
  <c r="J55" i="6"/>
  <c r="K55" i="6"/>
  <c r="L55" i="6"/>
  <c r="M55" i="6"/>
  <c r="N55" i="6"/>
  <c r="O55" i="6"/>
  <c r="P55" i="6"/>
  <c r="Q55" i="6"/>
  <c r="R55" i="6"/>
  <c r="S55" i="6"/>
  <c r="T55" i="6"/>
  <c r="U55" i="6"/>
  <c r="V55" i="6"/>
  <c r="W55" i="6"/>
  <c r="X55" i="6"/>
  <c r="Y55" i="6"/>
  <c r="Z55" i="6"/>
  <c r="AA55" i="6"/>
  <c r="AB55" i="6"/>
  <c r="AC55" i="6"/>
  <c r="AD55" i="6"/>
  <c r="AE55" i="6"/>
  <c r="AF55" i="6"/>
  <c r="AG55" i="6"/>
  <c r="AH55" i="6"/>
  <c r="AI55" i="6"/>
  <c r="AJ55" i="6"/>
  <c r="AK55" i="6"/>
  <c r="AL55" i="6"/>
  <c r="AM55" i="6"/>
  <c r="AN55" i="6"/>
  <c r="AO55" i="6"/>
  <c r="AP55" i="6"/>
  <c r="AQ55" i="6"/>
  <c r="AR55" i="6"/>
  <c r="AS55" i="6"/>
  <c r="AT55" i="6"/>
  <c r="AU55" i="6"/>
  <c r="AV55" i="6"/>
  <c r="AW55" i="6"/>
  <c r="AX55" i="6"/>
  <c r="AY55" i="6"/>
  <c r="AZ55" i="6"/>
  <c r="BA55" i="6"/>
  <c r="I56" i="6"/>
  <c r="J56" i="6"/>
  <c r="K56" i="6"/>
  <c r="L56" i="6"/>
  <c r="M56" i="6"/>
  <c r="N56" i="6"/>
  <c r="O56" i="6"/>
  <c r="P56" i="6"/>
  <c r="Q56" i="6"/>
  <c r="R56" i="6"/>
  <c r="S56" i="6"/>
  <c r="T56" i="6"/>
  <c r="U56" i="6"/>
  <c r="V56" i="6"/>
  <c r="W56" i="6"/>
  <c r="X56" i="6"/>
  <c r="Y56" i="6"/>
  <c r="Z56" i="6"/>
  <c r="AA56" i="6"/>
  <c r="AB56" i="6"/>
  <c r="AC56" i="6"/>
  <c r="AD56" i="6"/>
  <c r="AE56" i="6"/>
  <c r="AF56" i="6"/>
  <c r="AG56" i="6"/>
  <c r="AH56" i="6"/>
  <c r="AI56" i="6"/>
  <c r="AJ56" i="6"/>
  <c r="AK56" i="6"/>
  <c r="AL56" i="6"/>
  <c r="AM56" i="6"/>
  <c r="AN56" i="6"/>
  <c r="AO56" i="6"/>
  <c r="AP56" i="6"/>
  <c r="AQ56" i="6"/>
  <c r="AR56" i="6"/>
  <c r="AS56" i="6"/>
  <c r="AT56" i="6"/>
  <c r="AU56" i="6"/>
  <c r="AV56" i="6"/>
  <c r="AW56" i="6"/>
  <c r="AX56" i="6"/>
  <c r="AY56" i="6"/>
  <c r="AZ56" i="6"/>
  <c r="BA56" i="6"/>
  <c r="I57" i="6"/>
  <c r="J57" i="6"/>
  <c r="K57" i="6"/>
  <c r="L57" i="6"/>
  <c r="M57" i="6"/>
  <c r="N57" i="6"/>
  <c r="O57" i="6"/>
  <c r="P57" i="6"/>
  <c r="Q57" i="6"/>
  <c r="R57" i="6"/>
  <c r="S57" i="6"/>
  <c r="T57" i="6"/>
  <c r="U57" i="6"/>
  <c r="V57" i="6"/>
  <c r="W57" i="6"/>
  <c r="X57" i="6"/>
  <c r="Y57" i="6"/>
  <c r="Z57" i="6"/>
  <c r="AA57" i="6"/>
  <c r="AB57" i="6"/>
  <c r="AC57" i="6"/>
  <c r="AD57" i="6"/>
  <c r="AE57" i="6"/>
  <c r="AF57" i="6"/>
  <c r="AG57" i="6"/>
  <c r="AH57" i="6"/>
  <c r="AI57" i="6"/>
  <c r="AJ57" i="6"/>
  <c r="AK57" i="6"/>
  <c r="AL57" i="6"/>
  <c r="AM57" i="6"/>
  <c r="AN57" i="6"/>
  <c r="AO57" i="6"/>
  <c r="AP57" i="6"/>
  <c r="AQ57" i="6"/>
  <c r="AR57" i="6"/>
  <c r="AS57" i="6"/>
  <c r="AT57" i="6"/>
  <c r="AU57" i="6"/>
  <c r="AV57" i="6"/>
  <c r="AW57" i="6"/>
  <c r="AX57" i="6"/>
  <c r="AY57" i="6"/>
  <c r="AZ57" i="6"/>
  <c r="BA57" i="6"/>
  <c r="I58" i="6"/>
  <c r="J58" i="6"/>
  <c r="K58" i="6"/>
  <c r="L58" i="6"/>
  <c r="M58" i="6"/>
  <c r="N58" i="6"/>
  <c r="O58" i="6"/>
  <c r="P58" i="6"/>
  <c r="Q58" i="6"/>
  <c r="R58" i="6"/>
  <c r="S58" i="6"/>
  <c r="T58" i="6"/>
  <c r="U58" i="6"/>
  <c r="V58" i="6"/>
  <c r="W58" i="6"/>
  <c r="X58" i="6"/>
  <c r="Y58" i="6"/>
  <c r="Z58" i="6"/>
  <c r="AA58" i="6"/>
  <c r="AB58" i="6"/>
  <c r="AC58" i="6"/>
  <c r="AD58" i="6"/>
  <c r="AE58" i="6"/>
  <c r="AF58" i="6"/>
  <c r="AG58" i="6"/>
  <c r="AH58" i="6"/>
  <c r="AI58" i="6"/>
  <c r="AJ58" i="6"/>
  <c r="AK58" i="6"/>
  <c r="AL58" i="6"/>
  <c r="AM58" i="6"/>
  <c r="AN58" i="6"/>
  <c r="AO58" i="6"/>
  <c r="AP58" i="6"/>
  <c r="AQ58" i="6"/>
  <c r="AR58" i="6"/>
  <c r="AS58" i="6"/>
  <c r="AT58" i="6"/>
  <c r="AU58" i="6"/>
  <c r="AV58" i="6"/>
  <c r="AW58" i="6"/>
  <c r="AX58" i="6"/>
  <c r="AY58" i="6"/>
  <c r="AZ58" i="6"/>
  <c r="BA58" i="6"/>
  <c r="I59" i="6"/>
  <c r="J59" i="6"/>
  <c r="K59" i="6"/>
  <c r="L59" i="6"/>
  <c r="M59" i="6"/>
  <c r="N59" i="6"/>
  <c r="O59" i="6"/>
  <c r="P59" i="6"/>
  <c r="Q59" i="6"/>
  <c r="R59" i="6"/>
  <c r="S59" i="6"/>
  <c r="T59" i="6"/>
  <c r="U59" i="6"/>
  <c r="V59" i="6"/>
  <c r="W59" i="6"/>
  <c r="X59" i="6"/>
  <c r="Y59" i="6"/>
  <c r="Z59" i="6"/>
  <c r="AA59" i="6"/>
  <c r="AB59" i="6"/>
  <c r="AC59" i="6"/>
  <c r="AD59" i="6"/>
  <c r="AE59" i="6"/>
  <c r="AF59" i="6"/>
  <c r="AG59" i="6"/>
  <c r="AH59" i="6"/>
  <c r="AI59" i="6"/>
  <c r="AJ59" i="6"/>
  <c r="AK59" i="6"/>
  <c r="AL59" i="6"/>
  <c r="AM59" i="6"/>
  <c r="AN59" i="6"/>
  <c r="AO59" i="6"/>
  <c r="AP59" i="6"/>
  <c r="AQ59" i="6"/>
  <c r="AR59" i="6"/>
  <c r="AS59" i="6"/>
  <c r="AT59" i="6"/>
  <c r="AU59" i="6"/>
  <c r="AV59" i="6"/>
  <c r="AW59" i="6"/>
  <c r="AX59" i="6"/>
  <c r="AY59" i="6"/>
  <c r="AZ59" i="6"/>
  <c r="BA59" i="6"/>
  <c r="I60" i="6"/>
  <c r="J60" i="6"/>
  <c r="K60" i="6"/>
  <c r="L60" i="6"/>
  <c r="M60" i="6"/>
  <c r="N60" i="6"/>
  <c r="O60" i="6"/>
  <c r="P60" i="6"/>
  <c r="Q60" i="6"/>
  <c r="R60" i="6"/>
  <c r="S60" i="6"/>
  <c r="T60" i="6"/>
  <c r="U60" i="6"/>
  <c r="V60" i="6"/>
  <c r="W60" i="6"/>
  <c r="X60" i="6"/>
  <c r="Y60" i="6"/>
  <c r="Z60" i="6"/>
  <c r="AA60" i="6"/>
  <c r="AB60" i="6"/>
  <c r="AC60" i="6"/>
  <c r="AD60" i="6"/>
  <c r="AE60" i="6"/>
  <c r="AF60" i="6"/>
  <c r="AG60" i="6"/>
  <c r="AH60" i="6"/>
  <c r="AI60" i="6"/>
  <c r="AJ60" i="6"/>
  <c r="AK60" i="6"/>
  <c r="AL60" i="6"/>
  <c r="AM60" i="6"/>
  <c r="AN60" i="6"/>
  <c r="AO60" i="6"/>
  <c r="AP60" i="6"/>
  <c r="AQ60" i="6"/>
  <c r="AR60" i="6"/>
  <c r="AS60" i="6"/>
  <c r="AT60" i="6"/>
  <c r="AU60" i="6"/>
  <c r="AV60" i="6"/>
  <c r="AW60" i="6"/>
  <c r="AX60" i="6"/>
  <c r="AY60" i="6"/>
  <c r="AZ60" i="6"/>
  <c r="BA60" i="6"/>
  <c r="I61" i="6"/>
  <c r="J61" i="6"/>
  <c r="K61" i="6"/>
  <c r="L61" i="6"/>
  <c r="M61" i="6"/>
  <c r="N61" i="6"/>
  <c r="O61" i="6"/>
  <c r="P61" i="6"/>
  <c r="Q61" i="6"/>
  <c r="R61" i="6"/>
  <c r="S61" i="6"/>
  <c r="T61" i="6"/>
  <c r="U61" i="6"/>
  <c r="V61" i="6"/>
  <c r="W61" i="6"/>
  <c r="X61" i="6"/>
  <c r="Y61" i="6"/>
  <c r="Z61" i="6"/>
  <c r="AA61" i="6"/>
  <c r="AB61" i="6"/>
  <c r="AC61" i="6"/>
  <c r="AD61" i="6"/>
  <c r="AE61" i="6"/>
  <c r="AF61" i="6"/>
  <c r="AG61" i="6"/>
  <c r="AH61" i="6"/>
  <c r="AI61" i="6"/>
  <c r="AJ61" i="6"/>
  <c r="AK61" i="6"/>
  <c r="AL61" i="6"/>
  <c r="AM61" i="6"/>
  <c r="AN61" i="6"/>
  <c r="AO61" i="6"/>
  <c r="AP61" i="6"/>
  <c r="AQ61" i="6"/>
  <c r="AR61" i="6"/>
  <c r="AS61" i="6"/>
  <c r="AT61" i="6"/>
  <c r="AU61" i="6"/>
  <c r="AV61" i="6"/>
  <c r="AW61" i="6"/>
  <c r="AX61" i="6"/>
  <c r="AY61" i="6"/>
  <c r="AZ61" i="6"/>
  <c r="BA61" i="6"/>
  <c r="I62" i="6"/>
  <c r="J62" i="6"/>
  <c r="K62" i="6"/>
  <c r="L62" i="6"/>
  <c r="M62" i="6"/>
  <c r="N62" i="6"/>
  <c r="O62" i="6"/>
  <c r="P62" i="6"/>
  <c r="Q62" i="6"/>
  <c r="R62" i="6"/>
  <c r="S62" i="6"/>
  <c r="T62" i="6"/>
  <c r="U62" i="6"/>
  <c r="V62" i="6"/>
  <c r="W62" i="6"/>
  <c r="X62" i="6"/>
  <c r="Y62" i="6"/>
  <c r="Z62" i="6"/>
  <c r="AA62" i="6"/>
  <c r="AB62" i="6"/>
  <c r="AC62" i="6"/>
  <c r="AD62" i="6"/>
  <c r="AE62" i="6"/>
  <c r="AF62" i="6"/>
  <c r="AG62" i="6"/>
  <c r="AH62" i="6"/>
  <c r="AI62" i="6"/>
  <c r="AJ62" i="6"/>
  <c r="AK62" i="6"/>
  <c r="AL62" i="6"/>
  <c r="AM62" i="6"/>
  <c r="AN62" i="6"/>
  <c r="AO62" i="6"/>
  <c r="AP62" i="6"/>
  <c r="AQ62" i="6"/>
  <c r="AR62" i="6"/>
  <c r="AS62" i="6"/>
  <c r="AT62" i="6"/>
  <c r="AU62" i="6"/>
  <c r="AV62" i="6"/>
  <c r="AW62" i="6"/>
  <c r="AX62" i="6"/>
  <c r="AY62" i="6"/>
  <c r="AZ62" i="6"/>
  <c r="BA62" i="6"/>
  <c r="I63" i="6"/>
  <c r="J63" i="6"/>
  <c r="K63" i="6"/>
  <c r="L63" i="6"/>
  <c r="M63" i="6"/>
  <c r="N63" i="6"/>
  <c r="O63" i="6"/>
  <c r="P63" i="6"/>
  <c r="Q63" i="6"/>
  <c r="R63" i="6"/>
  <c r="S63" i="6"/>
  <c r="T63" i="6"/>
  <c r="U63" i="6"/>
  <c r="V63" i="6"/>
  <c r="W63" i="6"/>
  <c r="X63" i="6"/>
  <c r="Y63" i="6"/>
  <c r="Z63" i="6"/>
  <c r="AA63" i="6"/>
  <c r="AB63" i="6"/>
  <c r="AC63" i="6"/>
  <c r="AD63" i="6"/>
  <c r="AE63" i="6"/>
  <c r="AF63" i="6"/>
  <c r="AG63" i="6"/>
  <c r="AH63" i="6"/>
  <c r="AI63" i="6"/>
  <c r="AJ63" i="6"/>
  <c r="AK63" i="6"/>
  <c r="AL63" i="6"/>
  <c r="AM63" i="6"/>
  <c r="AN63" i="6"/>
  <c r="AO63" i="6"/>
  <c r="AP63" i="6"/>
  <c r="AQ63" i="6"/>
  <c r="AR63" i="6"/>
  <c r="AS63" i="6"/>
  <c r="AT63" i="6"/>
  <c r="AU63" i="6"/>
  <c r="AV63" i="6"/>
  <c r="AW63" i="6"/>
  <c r="AX63" i="6"/>
  <c r="AY63" i="6"/>
  <c r="AZ63" i="6"/>
  <c r="BA63" i="6"/>
  <c r="I64" i="6"/>
  <c r="J64" i="6"/>
  <c r="K64" i="6"/>
  <c r="L64" i="6"/>
  <c r="M64" i="6"/>
  <c r="N64" i="6"/>
  <c r="O64" i="6"/>
  <c r="P64" i="6"/>
  <c r="Q64" i="6"/>
  <c r="R64" i="6"/>
  <c r="S64" i="6"/>
  <c r="T64" i="6"/>
  <c r="U64" i="6"/>
  <c r="V64" i="6"/>
  <c r="W64" i="6"/>
  <c r="X64" i="6"/>
  <c r="Y64" i="6"/>
  <c r="Z64" i="6"/>
  <c r="AA64" i="6"/>
  <c r="AB64" i="6"/>
  <c r="AC64" i="6"/>
  <c r="AD64" i="6"/>
  <c r="AE64" i="6"/>
  <c r="AF64" i="6"/>
  <c r="AG64" i="6"/>
  <c r="AH64" i="6"/>
  <c r="AI64" i="6"/>
  <c r="AJ64" i="6"/>
  <c r="AK64" i="6"/>
  <c r="AL64" i="6"/>
  <c r="AM64" i="6"/>
  <c r="AN64" i="6"/>
  <c r="AO64" i="6"/>
  <c r="AP64" i="6"/>
  <c r="AQ64" i="6"/>
  <c r="AR64" i="6"/>
  <c r="AS64" i="6"/>
  <c r="AT64" i="6"/>
  <c r="AU64" i="6"/>
  <c r="AV64" i="6"/>
  <c r="AW64" i="6"/>
  <c r="AX64" i="6"/>
  <c r="AY64" i="6"/>
  <c r="AZ64" i="6"/>
  <c r="BA64" i="6"/>
  <c r="I65" i="6"/>
  <c r="J65" i="6"/>
  <c r="K65" i="6"/>
  <c r="L65" i="6"/>
  <c r="M65" i="6"/>
  <c r="N65" i="6"/>
  <c r="O65" i="6"/>
  <c r="P65" i="6"/>
  <c r="Q65" i="6"/>
  <c r="R65" i="6"/>
  <c r="S65" i="6"/>
  <c r="T65" i="6"/>
  <c r="U65" i="6"/>
  <c r="V65" i="6"/>
  <c r="W65" i="6"/>
  <c r="X65" i="6"/>
  <c r="Y65" i="6"/>
  <c r="Z65" i="6"/>
  <c r="AA65" i="6"/>
  <c r="AB65" i="6"/>
  <c r="AC65" i="6"/>
  <c r="AD65" i="6"/>
  <c r="AE65" i="6"/>
  <c r="AF65" i="6"/>
  <c r="AG65" i="6"/>
  <c r="AH65" i="6"/>
  <c r="AI65" i="6"/>
  <c r="AJ65" i="6"/>
  <c r="AK65" i="6"/>
  <c r="AL65" i="6"/>
  <c r="AM65" i="6"/>
  <c r="AN65" i="6"/>
  <c r="AO65" i="6"/>
  <c r="AP65" i="6"/>
  <c r="AQ65" i="6"/>
  <c r="AR65" i="6"/>
  <c r="AS65" i="6"/>
  <c r="AT65" i="6"/>
  <c r="AU65" i="6"/>
  <c r="AV65" i="6"/>
  <c r="AW65" i="6"/>
  <c r="AX65" i="6"/>
  <c r="AY65" i="6"/>
  <c r="AZ65" i="6"/>
  <c r="BA65" i="6"/>
  <c r="I66" i="6"/>
  <c r="J66" i="6"/>
  <c r="K66" i="6"/>
  <c r="L66" i="6"/>
  <c r="M66" i="6"/>
  <c r="N66" i="6"/>
  <c r="O66" i="6"/>
  <c r="P66" i="6"/>
  <c r="Q66" i="6"/>
  <c r="R66" i="6"/>
  <c r="S66" i="6"/>
  <c r="T66" i="6"/>
  <c r="U66" i="6"/>
  <c r="V66" i="6"/>
  <c r="W66" i="6"/>
  <c r="X66" i="6"/>
  <c r="Y66" i="6"/>
  <c r="Z66" i="6"/>
  <c r="AA66" i="6"/>
  <c r="AB66" i="6"/>
  <c r="AC66" i="6"/>
  <c r="AD66" i="6"/>
  <c r="AE66" i="6"/>
  <c r="AF66" i="6"/>
  <c r="AG66" i="6"/>
  <c r="AH66" i="6"/>
  <c r="AI66" i="6"/>
  <c r="AJ66" i="6"/>
  <c r="AK66" i="6"/>
  <c r="AL66" i="6"/>
  <c r="AM66" i="6"/>
  <c r="AN66" i="6"/>
  <c r="AO66" i="6"/>
  <c r="AP66" i="6"/>
  <c r="AQ66" i="6"/>
  <c r="AR66" i="6"/>
  <c r="AS66" i="6"/>
  <c r="AT66" i="6"/>
  <c r="AU66" i="6"/>
  <c r="AV66" i="6"/>
  <c r="AW66" i="6"/>
  <c r="AX66" i="6"/>
  <c r="AY66" i="6"/>
  <c r="AZ66" i="6"/>
  <c r="BA66" i="6"/>
  <c r="I67" i="6"/>
  <c r="J67" i="6"/>
  <c r="K67" i="6"/>
  <c r="L67" i="6"/>
  <c r="M67" i="6"/>
  <c r="N67" i="6"/>
  <c r="O67" i="6"/>
  <c r="P67" i="6"/>
  <c r="Q67" i="6"/>
  <c r="R67" i="6"/>
  <c r="S67" i="6"/>
  <c r="T67" i="6"/>
  <c r="U67" i="6"/>
  <c r="V67" i="6"/>
  <c r="W67" i="6"/>
  <c r="X67" i="6"/>
  <c r="Y67" i="6"/>
  <c r="Z67" i="6"/>
  <c r="AA67" i="6"/>
  <c r="AB67" i="6"/>
  <c r="AC67" i="6"/>
  <c r="AD67" i="6"/>
  <c r="AE67" i="6"/>
  <c r="AF67" i="6"/>
  <c r="AG67" i="6"/>
  <c r="AH67" i="6"/>
  <c r="AI67" i="6"/>
  <c r="AJ67" i="6"/>
  <c r="AK67" i="6"/>
  <c r="AL67" i="6"/>
  <c r="AM67" i="6"/>
  <c r="AN67" i="6"/>
  <c r="AO67" i="6"/>
  <c r="AP67" i="6"/>
  <c r="AQ67" i="6"/>
  <c r="AR67" i="6"/>
  <c r="AS67" i="6"/>
  <c r="AT67" i="6"/>
  <c r="AU67" i="6"/>
  <c r="AV67" i="6"/>
  <c r="AW67" i="6"/>
  <c r="AX67" i="6"/>
  <c r="AY67" i="6"/>
  <c r="AZ67" i="6"/>
  <c r="BA67" i="6"/>
  <c r="I68" i="6"/>
  <c r="J68" i="6"/>
  <c r="K68" i="6"/>
  <c r="L68" i="6"/>
  <c r="M68" i="6"/>
  <c r="N68" i="6"/>
  <c r="O68" i="6"/>
  <c r="P68" i="6"/>
  <c r="Q68" i="6"/>
  <c r="R68" i="6"/>
  <c r="S68" i="6"/>
  <c r="T68" i="6"/>
  <c r="U68" i="6"/>
  <c r="V68" i="6"/>
  <c r="W68" i="6"/>
  <c r="X68" i="6"/>
  <c r="Y68" i="6"/>
  <c r="Z68" i="6"/>
  <c r="AA68" i="6"/>
  <c r="AB68" i="6"/>
  <c r="AC68" i="6"/>
  <c r="AD68" i="6"/>
  <c r="AE68" i="6"/>
  <c r="AF68" i="6"/>
  <c r="AG68" i="6"/>
  <c r="AH68" i="6"/>
  <c r="AI68" i="6"/>
  <c r="AJ68" i="6"/>
  <c r="AK68" i="6"/>
  <c r="AL68" i="6"/>
  <c r="AM68" i="6"/>
  <c r="AN68" i="6"/>
  <c r="AO68" i="6"/>
  <c r="AP68" i="6"/>
  <c r="AQ68" i="6"/>
  <c r="AR68" i="6"/>
  <c r="AS68" i="6"/>
  <c r="AT68" i="6"/>
  <c r="AU68" i="6"/>
  <c r="AV68" i="6"/>
  <c r="AW68" i="6"/>
  <c r="AX68" i="6"/>
  <c r="AY68" i="6"/>
  <c r="AZ68" i="6"/>
  <c r="BA68" i="6"/>
  <c r="I69" i="6"/>
  <c r="J69" i="6"/>
  <c r="K69" i="6"/>
  <c r="L69" i="6"/>
  <c r="M69" i="6"/>
  <c r="N69" i="6"/>
  <c r="O69" i="6"/>
  <c r="P69" i="6"/>
  <c r="Q69" i="6"/>
  <c r="R69" i="6"/>
  <c r="S69" i="6"/>
  <c r="T69" i="6"/>
  <c r="U69" i="6"/>
  <c r="V69" i="6"/>
  <c r="W69" i="6"/>
  <c r="X69" i="6"/>
  <c r="Y69" i="6"/>
  <c r="Z69" i="6"/>
  <c r="AA69" i="6"/>
  <c r="AB69" i="6"/>
  <c r="AC69" i="6"/>
  <c r="AD69" i="6"/>
  <c r="AE69" i="6"/>
  <c r="AF69" i="6"/>
  <c r="AG69" i="6"/>
  <c r="AH69" i="6"/>
  <c r="AI69" i="6"/>
  <c r="AJ69" i="6"/>
  <c r="AK69" i="6"/>
  <c r="AL69" i="6"/>
  <c r="AM69" i="6"/>
  <c r="AN69" i="6"/>
  <c r="AO69" i="6"/>
  <c r="AP69" i="6"/>
  <c r="AQ69" i="6"/>
  <c r="AR69" i="6"/>
  <c r="AS69" i="6"/>
  <c r="AT69" i="6"/>
  <c r="AU69" i="6"/>
  <c r="AV69" i="6"/>
  <c r="AW69" i="6"/>
  <c r="AX69" i="6"/>
  <c r="AY69" i="6"/>
  <c r="AZ69" i="6"/>
  <c r="BA69" i="6"/>
  <c r="I70" i="6"/>
  <c r="J70" i="6"/>
  <c r="K70" i="6"/>
  <c r="L70" i="6"/>
  <c r="M70" i="6"/>
  <c r="N70" i="6"/>
  <c r="O70" i="6"/>
  <c r="P70" i="6"/>
  <c r="Q70" i="6"/>
  <c r="R70" i="6"/>
  <c r="S70" i="6"/>
  <c r="T70" i="6"/>
  <c r="U70" i="6"/>
  <c r="V70" i="6"/>
  <c r="W70" i="6"/>
  <c r="X70" i="6"/>
  <c r="Y70" i="6"/>
  <c r="Z70" i="6"/>
  <c r="AA70" i="6"/>
  <c r="AB70" i="6"/>
  <c r="AC70" i="6"/>
  <c r="AD70" i="6"/>
  <c r="AE70" i="6"/>
  <c r="AF70" i="6"/>
  <c r="AG70" i="6"/>
  <c r="AH70" i="6"/>
  <c r="AI70" i="6"/>
  <c r="AJ70" i="6"/>
  <c r="AK70" i="6"/>
  <c r="AL70" i="6"/>
  <c r="AM70" i="6"/>
  <c r="AN70" i="6"/>
  <c r="AO70" i="6"/>
  <c r="AP70" i="6"/>
  <c r="AQ70" i="6"/>
  <c r="AR70" i="6"/>
  <c r="AS70" i="6"/>
  <c r="AT70" i="6"/>
  <c r="AU70" i="6"/>
  <c r="AV70" i="6"/>
  <c r="AW70" i="6"/>
  <c r="AX70" i="6"/>
  <c r="AY70" i="6"/>
  <c r="AZ70" i="6"/>
  <c r="BA70" i="6"/>
  <c r="I71" i="6"/>
  <c r="J71" i="6"/>
  <c r="K71" i="6"/>
  <c r="L71" i="6"/>
  <c r="M71" i="6"/>
  <c r="N71" i="6"/>
  <c r="O71" i="6"/>
  <c r="P71" i="6"/>
  <c r="Q71" i="6"/>
  <c r="R71" i="6"/>
  <c r="S71" i="6"/>
  <c r="T71" i="6"/>
  <c r="U71" i="6"/>
  <c r="V71" i="6"/>
  <c r="W71" i="6"/>
  <c r="X71" i="6"/>
  <c r="Y71" i="6"/>
  <c r="Z71" i="6"/>
  <c r="AA71" i="6"/>
  <c r="AB71" i="6"/>
  <c r="AC71" i="6"/>
  <c r="AD71" i="6"/>
  <c r="AE71" i="6"/>
  <c r="AF71" i="6"/>
  <c r="AG71" i="6"/>
  <c r="AH71" i="6"/>
  <c r="AI71" i="6"/>
  <c r="AJ71" i="6"/>
  <c r="AK71" i="6"/>
  <c r="AL71" i="6"/>
  <c r="AM71" i="6"/>
  <c r="AN71" i="6"/>
  <c r="AO71" i="6"/>
  <c r="AP71" i="6"/>
  <c r="AQ71" i="6"/>
  <c r="AR71" i="6"/>
  <c r="AS71" i="6"/>
  <c r="AT71" i="6"/>
  <c r="AU71" i="6"/>
  <c r="AV71" i="6"/>
  <c r="AW71" i="6"/>
  <c r="AX71" i="6"/>
  <c r="AY71" i="6"/>
  <c r="AZ71" i="6"/>
  <c r="BA71" i="6"/>
  <c r="I72" i="6"/>
  <c r="J72" i="6"/>
  <c r="K72" i="6"/>
  <c r="L72" i="6"/>
  <c r="M72" i="6"/>
  <c r="N72" i="6"/>
  <c r="O72" i="6"/>
  <c r="P72" i="6"/>
  <c r="Q72" i="6"/>
  <c r="R72" i="6"/>
  <c r="S72" i="6"/>
  <c r="T72" i="6"/>
  <c r="U72" i="6"/>
  <c r="V72" i="6"/>
  <c r="W72" i="6"/>
  <c r="X72" i="6"/>
  <c r="Y72" i="6"/>
  <c r="Z72" i="6"/>
  <c r="AA72" i="6"/>
  <c r="AB72" i="6"/>
  <c r="AC72" i="6"/>
  <c r="AD72" i="6"/>
  <c r="AE72" i="6"/>
  <c r="AF72" i="6"/>
  <c r="AG72" i="6"/>
  <c r="AH72" i="6"/>
  <c r="AI72" i="6"/>
  <c r="AJ72" i="6"/>
  <c r="AK72" i="6"/>
  <c r="AL72" i="6"/>
  <c r="AM72" i="6"/>
  <c r="AN72" i="6"/>
  <c r="AO72" i="6"/>
  <c r="AP72" i="6"/>
  <c r="AQ72" i="6"/>
  <c r="AR72" i="6"/>
  <c r="AS72" i="6"/>
  <c r="AT72" i="6"/>
  <c r="AU72" i="6"/>
  <c r="AV72" i="6"/>
  <c r="AW72" i="6"/>
  <c r="AX72" i="6"/>
  <c r="AY72" i="6"/>
  <c r="AZ72" i="6"/>
  <c r="BA72" i="6"/>
  <c r="I73" i="6"/>
  <c r="J73" i="6"/>
  <c r="K73" i="6"/>
  <c r="L73" i="6"/>
  <c r="M73" i="6"/>
  <c r="N73" i="6"/>
  <c r="O73" i="6"/>
  <c r="P73" i="6"/>
  <c r="Q73" i="6"/>
  <c r="R73" i="6"/>
  <c r="S73" i="6"/>
  <c r="T73" i="6"/>
  <c r="U73" i="6"/>
  <c r="V73" i="6"/>
  <c r="W73" i="6"/>
  <c r="X73" i="6"/>
  <c r="Y73" i="6"/>
  <c r="Z73" i="6"/>
  <c r="AA73" i="6"/>
  <c r="AB73" i="6"/>
  <c r="AC73" i="6"/>
  <c r="AD73" i="6"/>
  <c r="AE73" i="6"/>
  <c r="AF73" i="6"/>
  <c r="AG73" i="6"/>
  <c r="AH73" i="6"/>
  <c r="AI73" i="6"/>
  <c r="AJ73" i="6"/>
  <c r="AK73" i="6"/>
  <c r="AL73" i="6"/>
  <c r="AM73" i="6"/>
  <c r="AN73" i="6"/>
  <c r="AO73" i="6"/>
  <c r="AP73" i="6"/>
  <c r="AQ73" i="6"/>
  <c r="AR73" i="6"/>
  <c r="AS73" i="6"/>
  <c r="AT73" i="6"/>
  <c r="AU73" i="6"/>
  <c r="AV73" i="6"/>
  <c r="AW73" i="6"/>
  <c r="AX73" i="6"/>
  <c r="AY73" i="6"/>
  <c r="AZ73" i="6"/>
  <c r="BA73" i="6"/>
  <c r="I74" i="6"/>
  <c r="J74" i="6"/>
  <c r="K74" i="6"/>
  <c r="L74" i="6"/>
  <c r="M74" i="6"/>
  <c r="N74" i="6"/>
  <c r="O74" i="6"/>
  <c r="P74" i="6"/>
  <c r="Q74" i="6"/>
  <c r="R74" i="6"/>
  <c r="S74" i="6"/>
  <c r="T74" i="6"/>
  <c r="U74" i="6"/>
  <c r="V74" i="6"/>
  <c r="W74" i="6"/>
  <c r="X74" i="6"/>
  <c r="Y74" i="6"/>
  <c r="Z74" i="6"/>
  <c r="AA74" i="6"/>
  <c r="AB74" i="6"/>
  <c r="AC74" i="6"/>
  <c r="AD74" i="6"/>
  <c r="AE74" i="6"/>
  <c r="AF74" i="6"/>
  <c r="AG74" i="6"/>
  <c r="AH74" i="6"/>
  <c r="AI74" i="6"/>
  <c r="AJ74" i="6"/>
  <c r="AK74" i="6"/>
  <c r="AL74" i="6"/>
  <c r="AM74" i="6"/>
  <c r="AN74" i="6"/>
  <c r="AO74" i="6"/>
  <c r="AP74" i="6"/>
  <c r="AQ74" i="6"/>
  <c r="AR74" i="6"/>
  <c r="AS74" i="6"/>
  <c r="AT74" i="6"/>
  <c r="AU74" i="6"/>
  <c r="AV74" i="6"/>
  <c r="AW74" i="6"/>
  <c r="AX74" i="6"/>
  <c r="AY74" i="6"/>
  <c r="AZ74" i="6"/>
  <c r="BA74" i="6"/>
  <c r="I75" i="6"/>
  <c r="J75" i="6"/>
  <c r="K75" i="6"/>
  <c r="L75" i="6"/>
  <c r="M75" i="6"/>
  <c r="N75" i="6"/>
  <c r="O75" i="6"/>
  <c r="P75" i="6"/>
  <c r="Q75" i="6"/>
  <c r="R75" i="6"/>
  <c r="S75" i="6"/>
  <c r="T75" i="6"/>
  <c r="U75" i="6"/>
  <c r="V75" i="6"/>
  <c r="W75" i="6"/>
  <c r="X75" i="6"/>
  <c r="Y75" i="6"/>
  <c r="Z75" i="6"/>
  <c r="AA75" i="6"/>
  <c r="AB75" i="6"/>
  <c r="AC75" i="6"/>
  <c r="AD75" i="6"/>
  <c r="AE75" i="6"/>
  <c r="AF75" i="6"/>
  <c r="AG75" i="6"/>
  <c r="AH75" i="6"/>
  <c r="AI75" i="6"/>
  <c r="AJ75" i="6"/>
  <c r="AK75" i="6"/>
  <c r="AL75" i="6"/>
  <c r="AM75" i="6"/>
  <c r="AN75" i="6"/>
  <c r="AO75" i="6"/>
  <c r="AP75" i="6"/>
  <c r="AQ75" i="6"/>
  <c r="AR75" i="6"/>
  <c r="AS75" i="6"/>
  <c r="AT75" i="6"/>
  <c r="AU75" i="6"/>
  <c r="AV75" i="6"/>
  <c r="AW75" i="6"/>
  <c r="AX75" i="6"/>
  <c r="AY75" i="6"/>
  <c r="AZ75" i="6"/>
  <c r="BA75" i="6"/>
  <c r="I76" i="6"/>
  <c r="J76" i="6"/>
  <c r="K76" i="6"/>
  <c r="L76" i="6"/>
  <c r="M76" i="6"/>
  <c r="N76" i="6"/>
  <c r="O76" i="6"/>
  <c r="P76" i="6"/>
  <c r="Q76" i="6"/>
  <c r="R76" i="6"/>
  <c r="S76" i="6"/>
  <c r="T76" i="6"/>
  <c r="U76" i="6"/>
  <c r="V76" i="6"/>
  <c r="W76" i="6"/>
  <c r="X76" i="6"/>
  <c r="Y76" i="6"/>
  <c r="Z76" i="6"/>
  <c r="AA76" i="6"/>
  <c r="AB76" i="6"/>
  <c r="AC76" i="6"/>
  <c r="AD76" i="6"/>
  <c r="AE76" i="6"/>
  <c r="AF76" i="6"/>
  <c r="AG76" i="6"/>
  <c r="AH76" i="6"/>
  <c r="AI76" i="6"/>
  <c r="AJ76" i="6"/>
  <c r="AK76" i="6"/>
  <c r="AL76" i="6"/>
  <c r="AM76" i="6"/>
  <c r="AN76" i="6"/>
  <c r="AO76" i="6"/>
  <c r="AP76" i="6"/>
  <c r="AQ76" i="6"/>
  <c r="AR76" i="6"/>
  <c r="AS76" i="6"/>
  <c r="AT76" i="6"/>
  <c r="AU76" i="6"/>
  <c r="AV76" i="6"/>
  <c r="AW76" i="6"/>
  <c r="AX76" i="6"/>
  <c r="AY76" i="6"/>
  <c r="AZ76" i="6"/>
  <c r="BA76" i="6"/>
  <c r="I77" i="6"/>
  <c r="J77" i="6"/>
  <c r="K77" i="6"/>
  <c r="L77" i="6"/>
  <c r="M77" i="6"/>
  <c r="N77" i="6"/>
  <c r="O77" i="6"/>
  <c r="P77" i="6"/>
  <c r="Q77" i="6"/>
  <c r="R77" i="6"/>
  <c r="S77" i="6"/>
  <c r="T77" i="6"/>
  <c r="U77" i="6"/>
  <c r="V77" i="6"/>
  <c r="W77" i="6"/>
  <c r="X77" i="6"/>
  <c r="Y77" i="6"/>
  <c r="Z77" i="6"/>
  <c r="AA77" i="6"/>
  <c r="AB77" i="6"/>
  <c r="AC77" i="6"/>
  <c r="AD77" i="6"/>
  <c r="AE77" i="6"/>
  <c r="AF77" i="6"/>
  <c r="AG77" i="6"/>
  <c r="AH77" i="6"/>
  <c r="AI77" i="6"/>
  <c r="AJ77" i="6"/>
  <c r="AK77" i="6"/>
  <c r="AL77" i="6"/>
  <c r="AM77" i="6"/>
  <c r="AN77" i="6"/>
  <c r="AO77" i="6"/>
  <c r="AP77" i="6"/>
  <c r="AQ77" i="6"/>
  <c r="AR77" i="6"/>
  <c r="AS77" i="6"/>
  <c r="AT77" i="6"/>
  <c r="AU77" i="6"/>
  <c r="AV77" i="6"/>
  <c r="AW77" i="6"/>
  <c r="AX77" i="6"/>
  <c r="AY77" i="6"/>
  <c r="AZ77" i="6"/>
  <c r="BA77" i="6"/>
  <c r="I78" i="6"/>
  <c r="J78" i="6"/>
  <c r="K78" i="6"/>
  <c r="L78" i="6"/>
  <c r="M78" i="6"/>
  <c r="N78" i="6"/>
  <c r="O78" i="6"/>
  <c r="P78" i="6"/>
  <c r="Q78" i="6"/>
  <c r="R78" i="6"/>
  <c r="S78" i="6"/>
  <c r="T78" i="6"/>
  <c r="U78" i="6"/>
  <c r="V78" i="6"/>
  <c r="W78" i="6"/>
  <c r="X78" i="6"/>
  <c r="Y78" i="6"/>
  <c r="Z78" i="6"/>
  <c r="AA78" i="6"/>
  <c r="AB78" i="6"/>
  <c r="AC78" i="6"/>
  <c r="AD78" i="6"/>
  <c r="AE78" i="6"/>
  <c r="AF78" i="6"/>
  <c r="AG78" i="6"/>
  <c r="AH78" i="6"/>
  <c r="AI78" i="6"/>
  <c r="AJ78" i="6"/>
  <c r="AK78" i="6"/>
  <c r="AL78" i="6"/>
  <c r="AM78" i="6"/>
  <c r="AN78" i="6"/>
  <c r="AO78" i="6"/>
  <c r="AP78" i="6"/>
  <c r="AQ78" i="6"/>
  <c r="AR78" i="6"/>
  <c r="AS78" i="6"/>
  <c r="AT78" i="6"/>
  <c r="AU78" i="6"/>
  <c r="AV78" i="6"/>
  <c r="AW78" i="6"/>
  <c r="AX78" i="6"/>
  <c r="AY78" i="6"/>
  <c r="AZ78" i="6"/>
  <c r="BA78" i="6"/>
  <c r="I79" i="6"/>
  <c r="J79" i="6"/>
  <c r="K79" i="6"/>
  <c r="L79" i="6"/>
  <c r="M79" i="6"/>
  <c r="N79" i="6"/>
  <c r="O79" i="6"/>
  <c r="P79" i="6"/>
  <c r="Q79" i="6"/>
  <c r="R79" i="6"/>
  <c r="S79" i="6"/>
  <c r="T79" i="6"/>
  <c r="U79" i="6"/>
  <c r="V79" i="6"/>
  <c r="W79" i="6"/>
  <c r="X79" i="6"/>
  <c r="Y79" i="6"/>
  <c r="Z79" i="6"/>
  <c r="AA79" i="6"/>
  <c r="AB79" i="6"/>
  <c r="AC79" i="6"/>
  <c r="AD79" i="6"/>
  <c r="AE79" i="6"/>
  <c r="AF79" i="6"/>
  <c r="AG79" i="6"/>
  <c r="AH79" i="6"/>
  <c r="AI79" i="6"/>
  <c r="AJ79" i="6"/>
  <c r="AK79" i="6"/>
  <c r="AL79" i="6"/>
  <c r="AM79" i="6"/>
  <c r="AN79" i="6"/>
  <c r="AO79" i="6"/>
  <c r="AP79" i="6"/>
  <c r="AQ79" i="6"/>
  <c r="AR79" i="6"/>
  <c r="AS79" i="6"/>
  <c r="AT79" i="6"/>
  <c r="AU79" i="6"/>
  <c r="AV79" i="6"/>
  <c r="AW79" i="6"/>
  <c r="AX79" i="6"/>
  <c r="AY79" i="6"/>
  <c r="AZ79" i="6"/>
  <c r="BA79" i="6"/>
  <c r="I80" i="6"/>
  <c r="J80" i="6"/>
  <c r="K80" i="6"/>
  <c r="L80" i="6"/>
  <c r="M80" i="6"/>
  <c r="N80" i="6"/>
  <c r="O80" i="6"/>
  <c r="P80" i="6"/>
  <c r="Q80" i="6"/>
  <c r="R80" i="6"/>
  <c r="S80" i="6"/>
  <c r="T80" i="6"/>
  <c r="U80" i="6"/>
  <c r="V80" i="6"/>
  <c r="W80" i="6"/>
  <c r="X80" i="6"/>
  <c r="Y80" i="6"/>
  <c r="Z80" i="6"/>
  <c r="AA80" i="6"/>
  <c r="AB80" i="6"/>
  <c r="AC80" i="6"/>
  <c r="AD80" i="6"/>
  <c r="AE80" i="6"/>
  <c r="AF80" i="6"/>
  <c r="AG80" i="6"/>
  <c r="AH80" i="6"/>
  <c r="AI80" i="6"/>
  <c r="AJ80" i="6"/>
  <c r="AK80" i="6"/>
  <c r="AL80" i="6"/>
  <c r="AM80" i="6"/>
  <c r="AN80" i="6"/>
  <c r="AO80" i="6"/>
  <c r="AP80" i="6"/>
  <c r="AQ80" i="6"/>
  <c r="AR80" i="6"/>
  <c r="AS80" i="6"/>
  <c r="AT80" i="6"/>
  <c r="AU80" i="6"/>
  <c r="AV80" i="6"/>
  <c r="AW80" i="6"/>
  <c r="AX80" i="6"/>
  <c r="AY80" i="6"/>
  <c r="AZ80" i="6"/>
  <c r="BA80" i="6"/>
  <c r="I81" i="6"/>
  <c r="J81" i="6"/>
  <c r="K81" i="6"/>
  <c r="L81" i="6"/>
  <c r="M81" i="6"/>
  <c r="N81" i="6"/>
  <c r="O81" i="6"/>
  <c r="P81" i="6"/>
  <c r="Q81" i="6"/>
  <c r="R81" i="6"/>
  <c r="S81" i="6"/>
  <c r="T81" i="6"/>
  <c r="U81" i="6"/>
  <c r="V81" i="6"/>
  <c r="W81" i="6"/>
  <c r="X81" i="6"/>
  <c r="Y81" i="6"/>
  <c r="Z81" i="6"/>
  <c r="AA81" i="6"/>
  <c r="AB81" i="6"/>
  <c r="AC81" i="6"/>
  <c r="AD81" i="6"/>
  <c r="AE81" i="6"/>
  <c r="AF81" i="6"/>
  <c r="AG81" i="6"/>
  <c r="AH81" i="6"/>
  <c r="AI81" i="6"/>
  <c r="AJ81" i="6"/>
  <c r="AK81" i="6"/>
  <c r="AL81" i="6"/>
  <c r="AM81" i="6"/>
  <c r="AN81" i="6"/>
  <c r="AO81" i="6"/>
  <c r="AP81" i="6"/>
  <c r="AQ81" i="6"/>
  <c r="AR81" i="6"/>
  <c r="AS81" i="6"/>
  <c r="AT81" i="6"/>
  <c r="AU81" i="6"/>
  <c r="AV81" i="6"/>
  <c r="AW81" i="6"/>
  <c r="AX81" i="6"/>
  <c r="AY81" i="6"/>
  <c r="AZ81" i="6"/>
  <c r="BA81" i="6"/>
  <c r="I82" i="6"/>
  <c r="J82" i="6"/>
  <c r="K82" i="6"/>
  <c r="L82" i="6"/>
  <c r="M82" i="6"/>
  <c r="N82" i="6"/>
  <c r="O82" i="6"/>
  <c r="P82" i="6"/>
  <c r="Q82" i="6"/>
  <c r="R82" i="6"/>
  <c r="S82" i="6"/>
  <c r="T82" i="6"/>
  <c r="U82" i="6"/>
  <c r="V82" i="6"/>
  <c r="W82" i="6"/>
  <c r="X82" i="6"/>
  <c r="Y82" i="6"/>
  <c r="Z82" i="6"/>
  <c r="AA82" i="6"/>
  <c r="AB82" i="6"/>
  <c r="AC82" i="6"/>
  <c r="AD82" i="6"/>
  <c r="AE82" i="6"/>
  <c r="AF82" i="6"/>
  <c r="AG82" i="6"/>
  <c r="AH82" i="6"/>
  <c r="AI82" i="6"/>
  <c r="AJ82" i="6"/>
  <c r="AK82" i="6"/>
  <c r="AL82" i="6"/>
  <c r="AM82" i="6"/>
  <c r="AN82" i="6"/>
  <c r="AO82" i="6"/>
  <c r="AP82" i="6"/>
  <c r="AQ82" i="6"/>
  <c r="AR82" i="6"/>
  <c r="AS82" i="6"/>
  <c r="AT82" i="6"/>
  <c r="AU82" i="6"/>
  <c r="AV82" i="6"/>
  <c r="AW82" i="6"/>
  <c r="AX82" i="6"/>
  <c r="AY82" i="6"/>
  <c r="AZ82" i="6"/>
  <c r="BA82" i="6"/>
  <c r="I83" i="6"/>
  <c r="J83" i="6"/>
  <c r="K83" i="6"/>
  <c r="L83" i="6"/>
  <c r="M83" i="6"/>
  <c r="N83" i="6"/>
  <c r="O83" i="6"/>
  <c r="P83" i="6"/>
  <c r="Q83" i="6"/>
  <c r="R83" i="6"/>
  <c r="S83" i="6"/>
  <c r="T83" i="6"/>
  <c r="U83" i="6"/>
  <c r="V83" i="6"/>
  <c r="W83" i="6"/>
  <c r="X83" i="6"/>
  <c r="Y83" i="6"/>
  <c r="Z83" i="6"/>
  <c r="AA83" i="6"/>
  <c r="AB83" i="6"/>
  <c r="AC83" i="6"/>
  <c r="AD83" i="6"/>
  <c r="AE83" i="6"/>
  <c r="AF83" i="6"/>
  <c r="AG83" i="6"/>
  <c r="AH83" i="6"/>
  <c r="AI83" i="6"/>
  <c r="AJ83" i="6"/>
  <c r="AK83" i="6"/>
  <c r="AL83" i="6"/>
  <c r="AM83" i="6"/>
  <c r="AN83" i="6"/>
  <c r="AO83" i="6"/>
  <c r="AP83" i="6"/>
  <c r="AQ83" i="6"/>
  <c r="AR83" i="6"/>
  <c r="AS83" i="6"/>
  <c r="AT83" i="6"/>
  <c r="AU83" i="6"/>
  <c r="AV83" i="6"/>
  <c r="AW83" i="6"/>
  <c r="AX83" i="6"/>
  <c r="AY83" i="6"/>
  <c r="AZ83" i="6"/>
  <c r="BA83" i="6"/>
  <c r="I84" i="6"/>
  <c r="J84" i="6"/>
  <c r="K84" i="6"/>
  <c r="L84" i="6"/>
  <c r="M84" i="6"/>
  <c r="N84" i="6"/>
  <c r="O84" i="6"/>
  <c r="P84" i="6"/>
  <c r="Q84" i="6"/>
  <c r="R84" i="6"/>
  <c r="S84" i="6"/>
  <c r="T84" i="6"/>
  <c r="U84" i="6"/>
  <c r="V84" i="6"/>
  <c r="W84" i="6"/>
  <c r="X84" i="6"/>
  <c r="Y84" i="6"/>
  <c r="Z84" i="6"/>
  <c r="AA84" i="6"/>
  <c r="AB84" i="6"/>
  <c r="AC84" i="6"/>
  <c r="AD84" i="6"/>
  <c r="AE84" i="6"/>
  <c r="AF84" i="6"/>
  <c r="AG84" i="6"/>
  <c r="AH84" i="6"/>
  <c r="AI84" i="6"/>
  <c r="AJ84" i="6"/>
  <c r="AK84" i="6"/>
  <c r="AL84" i="6"/>
  <c r="AM84" i="6"/>
  <c r="AN84" i="6"/>
  <c r="AO84" i="6"/>
  <c r="AP84" i="6"/>
  <c r="AQ84" i="6"/>
  <c r="AR84" i="6"/>
  <c r="AS84" i="6"/>
  <c r="AT84" i="6"/>
  <c r="AU84" i="6"/>
  <c r="AV84" i="6"/>
  <c r="AW84" i="6"/>
  <c r="AX84" i="6"/>
  <c r="AY84" i="6"/>
  <c r="AZ84" i="6"/>
  <c r="BA84" i="6"/>
  <c r="I85" i="6"/>
  <c r="J85" i="6"/>
  <c r="K85" i="6"/>
  <c r="L85" i="6"/>
  <c r="M85" i="6"/>
  <c r="N85" i="6"/>
  <c r="O85" i="6"/>
  <c r="P85" i="6"/>
  <c r="Q85" i="6"/>
  <c r="R85" i="6"/>
  <c r="S85" i="6"/>
  <c r="T85" i="6"/>
  <c r="U85" i="6"/>
  <c r="V85" i="6"/>
  <c r="W85" i="6"/>
  <c r="X85" i="6"/>
  <c r="Y85" i="6"/>
  <c r="Z85" i="6"/>
  <c r="AA85" i="6"/>
  <c r="AB85" i="6"/>
  <c r="AC85" i="6"/>
  <c r="AD85" i="6"/>
  <c r="AE85" i="6"/>
  <c r="AF85" i="6"/>
  <c r="AG85" i="6"/>
  <c r="AH85" i="6"/>
  <c r="AI85" i="6"/>
  <c r="AJ85" i="6"/>
  <c r="AK85" i="6"/>
  <c r="AL85" i="6"/>
  <c r="AM85" i="6"/>
  <c r="AN85" i="6"/>
  <c r="AO85" i="6"/>
  <c r="AP85" i="6"/>
  <c r="AQ85" i="6"/>
  <c r="AR85" i="6"/>
  <c r="AS85" i="6"/>
  <c r="AT85" i="6"/>
  <c r="AU85" i="6"/>
  <c r="AV85" i="6"/>
  <c r="AW85" i="6"/>
  <c r="AX85" i="6"/>
  <c r="AY85" i="6"/>
  <c r="AZ85" i="6"/>
  <c r="BA85" i="6"/>
  <c r="I86" i="6"/>
  <c r="J86" i="6"/>
  <c r="K86" i="6"/>
  <c r="L86" i="6"/>
  <c r="M86" i="6"/>
  <c r="N86" i="6"/>
  <c r="O86" i="6"/>
  <c r="P86" i="6"/>
  <c r="Q86" i="6"/>
  <c r="R86" i="6"/>
  <c r="S86" i="6"/>
  <c r="T86" i="6"/>
  <c r="U86" i="6"/>
  <c r="V86" i="6"/>
  <c r="W86" i="6"/>
  <c r="X86" i="6"/>
  <c r="Y86" i="6"/>
  <c r="Z86" i="6"/>
  <c r="AA86" i="6"/>
  <c r="AB86" i="6"/>
  <c r="AC86" i="6"/>
  <c r="AD86" i="6"/>
  <c r="AE86" i="6"/>
  <c r="AF86" i="6"/>
  <c r="AG86" i="6"/>
  <c r="AH86" i="6"/>
  <c r="AI86" i="6"/>
  <c r="AJ86" i="6"/>
  <c r="AK86" i="6"/>
  <c r="AL86" i="6"/>
  <c r="AM86" i="6"/>
  <c r="AN86" i="6"/>
  <c r="AO86" i="6"/>
  <c r="AP86" i="6"/>
  <c r="AQ86" i="6"/>
  <c r="AR86" i="6"/>
  <c r="AS86" i="6"/>
  <c r="AT86" i="6"/>
  <c r="AU86" i="6"/>
  <c r="AV86" i="6"/>
  <c r="AW86" i="6"/>
  <c r="AX86" i="6"/>
  <c r="AY86" i="6"/>
  <c r="AZ86" i="6"/>
  <c r="BA86" i="6"/>
  <c r="I87" i="6"/>
  <c r="J87" i="6"/>
  <c r="K87" i="6"/>
  <c r="L87" i="6"/>
  <c r="M87" i="6"/>
  <c r="N87" i="6"/>
  <c r="O87" i="6"/>
  <c r="P87" i="6"/>
  <c r="Q87" i="6"/>
  <c r="R87" i="6"/>
  <c r="S87" i="6"/>
  <c r="T87" i="6"/>
  <c r="U87" i="6"/>
  <c r="V87" i="6"/>
  <c r="W87" i="6"/>
  <c r="X87" i="6"/>
  <c r="Y87" i="6"/>
  <c r="Z87" i="6"/>
  <c r="AA87" i="6"/>
  <c r="AB87" i="6"/>
  <c r="AC87" i="6"/>
  <c r="AD87" i="6"/>
  <c r="AE87" i="6"/>
  <c r="AF87" i="6"/>
  <c r="AG87" i="6"/>
  <c r="AH87" i="6"/>
  <c r="AI87" i="6"/>
  <c r="AJ87" i="6"/>
  <c r="AK87" i="6"/>
  <c r="AL87" i="6"/>
  <c r="AM87" i="6"/>
  <c r="AN87" i="6"/>
  <c r="AO87" i="6"/>
  <c r="AP87" i="6"/>
  <c r="AQ87" i="6"/>
  <c r="AR87" i="6"/>
  <c r="AS87" i="6"/>
  <c r="AT87" i="6"/>
  <c r="AU87" i="6"/>
  <c r="AV87" i="6"/>
  <c r="AW87" i="6"/>
  <c r="AX87" i="6"/>
  <c r="AY87" i="6"/>
  <c r="AZ87" i="6"/>
  <c r="BA87" i="6"/>
  <c r="I88" i="6"/>
  <c r="J88" i="6"/>
  <c r="K88" i="6"/>
  <c r="L88" i="6"/>
  <c r="M88" i="6"/>
  <c r="N88" i="6"/>
  <c r="O88" i="6"/>
  <c r="P88" i="6"/>
  <c r="Q88" i="6"/>
  <c r="R88" i="6"/>
  <c r="S88" i="6"/>
  <c r="T88" i="6"/>
  <c r="U88" i="6"/>
  <c r="V88" i="6"/>
  <c r="W88" i="6"/>
  <c r="X88" i="6"/>
  <c r="Y88" i="6"/>
  <c r="Z88" i="6"/>
  <c r="AA88" i="6"/>
  <c r="AB88" i="6"/>
  <c r="AC88" i="6"/>
  <c r="AD88" i="6"/>
  <c r="AE88" i="6"/>
  <c r="AF88" i="6"/>
  <c r="AG88" i="6"/>
  <c r="AH88" i="6"/>
  <c r="AI88" i="6"/>
  <c r="AJ88" i="6"/>
  <c r="AK88" i="6"/>
  <c r="AL88" i="6"/>
  <c r="AM88" i="6"/>
  <c r="AN88" i="6"/>
  <c r="AO88" i="6"/>
  <c r="AP88" i="6"/>
  <c r="AQ88" i="6"/>
  <c r="AR88" i="6"/>
  <c r="AS88" i="6"/>
  <c r="AT88" i="6"/>
  <c r="AU88" i="6"/>
  <c r="AV88" i="6"/>
  <c r="AW88" i="6"/>
  <c r="AX88" i="6"/>
  <c r="AY88" i="6"/>
  <c r="AZ88" i="6"/>
  <c r="BA88" i="6"/>
  <c r="I89" i="6"/>
  <c r="J89" i="6"/>
  <c r="K89" i="6"/>
  <c r="L89" i="6"/>
  <c r="M89" i="6"/>
  <c r="N89" i="6"/>
  <c r="O89" i="6"/>
  <c r="P89" i="6"/>
  <c r="Q89" i="6"/>
  <c r="R89" i="6"/>
  <c r="S89" i="6"/>
  <c r="T89" i="6"/>
  <c r="U89" i="6"/>
  <c r="V89" i="6"/>
  <c r="W89" i="6"/>
  <c r="X89" i="6"/>
  <c r="Y89" i="6"/>
  <c r="Z89" i="6"/>
  <c r="AA89" i="6"/>
  <c r="AB89" i="6"/>
  <c r="AC89" i="6"/>
  <c r="AD89" i="6"/>
  <c r="AE89" i="6"/>
  <c r="AF89" i="6"/>
  <c r="AG89" i="6"/>
  <c r="AH89" i="6"/>
  <c r="AI89" i="6"/>
  <c r="AJ89" i="6"/>
  <c r="AK89" i="6"/>
  <c r="AL89" i="6"/>
  <c r="AM89" i="6"/>
  <c r="AN89" i="6"/>
  <c r="AO89" i="6"/>
  <c r="AP89" i="6"/>
  <c r="AQ89" i="6"/>
  <c r="AR89" i="6"/>
  <c r="AS89" i="6"/>
  <c r="AT89" i="6"/>
  <c r="AU89" i="6"/>
  <c r="AV89" i="6"/>
  <c r="AW89" i="6"/>
  <c r="AX89" i="6"/>
  <c r="AY89" i="6"/>
  <c r="AZ89" i="6"/>
  <c r="BA89" i="6"/>
  <c r="I90" i="6"/>
  <c r="J90" i="6"/>
  <c r="K90" i="6"/>
  <c r="L90" i="6"/>
  <c r="M90" i="6"/>
  <c r="N90" i="6"/>
  <c r="O90" i="6"/>
  <c r="P90" i="6"/>
  <c r="Q90" i="6"/>
  <c r="R90" i="6"/>
  <c r="S90" i="6"/>
  <c r="T90" i="6"/>
  <c r="U90" i="6"/>
  <c r="V90" i="6"/>
  <c r="W90" i="6"/>
  <c r="X90" i="6"/>
  <c r="Y90" i="6"/>
  <c r="Z90" i="6"/>
  <c r="AA90" i="6"/>
  <c r="AB90" i="6"/>
  <c r="AC90" i="6"/>
  <c r="AD90" i="6"/>
  <c r="AE90" i="6"/>
  <c r="AF90" i="6"/>
  <c r="AG90" i="6"/>
  <c r="AH90" i="6"/>
  <c r="AI90" i="6"/>
  <c r="AJ90" i="6"/>
  <c r="AK90" i="6"/>
  <c r="AL90" i="6"/>
  <c r="AM90" i="6"/>
  <c r="AN90" i="6"/>
  <c r="AO90" i="6"/>
  <c r="AP90" i="6"/>
  <c r="AQ90" i="6"/>
  <c r="AR90" i="6"/>
  <c r="AS90" i="6"/>
  <c r="AT90" i="6"/>
  <c r="AU90" i="6"/>
  <c r="AV90" i="6"/>
  <c r="AW90" i="6"/>
  <c r="AX90" i="6"/>
  <c r="AY90" i="6"/>
  <c r="AZ90" i="6"/>
  <c r="BA90" i="6"/>
  <c r="I91" i="6"/>
  <c r="J91" i="6"/>
  <c r="K91" i="6"/>
  <c r="L91" i="6"/>
  <c r="M91" i="6"/>
  <c r="N91" i="6"/>
  <c r="O91" i="6"/>
  <c r="P91" i="6"/>
  <c r="Q91" i="6"/>
  <c r="R91" i="6"/>
  <c r="S91" i="6"/>
  <c r="T91" i="6"/>
  <c r="U91" i="6"/>
  <c r="V91" i="6"/>
  <c r="W91" i="6"/>
  <c r="X91" i="6"/>
  <c r="Y91" i="6"/>
  <c r="Z91" i="6"/>
  <c r="AA91" i="6"/>
  <c r="AB91" i="6"/>
  <c r="AC91" i="6"/>
  <c r="AD91" i="6"/>
  <c r="AE91" i="6"/>
  <c r="AF91" i="6"/>
  <c r="AG91" i="6"/>
  <c r="AH91" i="6"/>
  <c r="AI91" i="6"/>
  <c r="AJ91" i="6"/>
  <c r="AK91" i="6"/>
  <c r="AL91" i="6"/>
  <c r="AM91" i="6"/>
  <c r="AN91" i="6"/>
  <c r="AO91" i="6"/>
  <c r="AP91" i="6"/>
  <c r="AQ91" i="6"/>
  <c r="AR91" i="6"/>
  <c r="AS91" i="6"/>
  <c r="AT91" i="6"/>
  <c r="AU91" i="6"/>
  <c r="AV91" i="6"/>
  <c r="AW91" i="6"/>
  <c r="AX91" i="6"/>
  <c r="AY91" i="6"/>
  <c r="AZ91" i="6"/>
  <c r="BA91" i="6"/>
  <c r="I92" i="6"/>
  <c r="J92" i="6"/>
  <c r="K92" i="6"/>
  <c r="L92" i="6"/>
  <c r="M92" i="6"/>
  <c r="N92" i="6"/>
  <c r="O92" i="6"/>
  <c r="P92" i="6"/>
  <c r="Q92" i="6"/>
  <c r="R92" i="6"/>
  <c r="S92" i="6"/>
  <c r="T92" i="6"/>
  <c r="U92" i="6"/>
  <c r="V92" i="6"/>
  <c r="W92" i="6"/>
  <c r="X92" i="6"/>
  <c r="Y92" i="6"/>
  <c r="Z92" i="6"/>
  <c r="AA92" i="6"/>
  <c r="AB92" i="6"/>
  <c r="AC92" i="6"/>
  <c r="AD92" i="6"/>
  <c r="AE92" i="6"/>
  <c r="AF92" i="6"/>
  <c r="AG92" i="6"/>
  <c r="AH92" i="6"/>
  <c r="AI92" i="6"/>
  <c r="AJ92" i="6"/>
  <c r="AK92" i="6"/>
  <c r="AL92" i="6"/>
  <c r="AM92" i="6"/>
  <c r="AN92" i="6"/>
  <c r="AO92" i="6"/>
  <c r="AP92" i="6"/>
  <c r="AQ92" i="6"/>
  <c r="AR92" i="6"/>
  <c r="AS92" i="6"/>
  <c r="AT92" i="6"/>
  <c r="AU92" i="6"/>
  <c r="AV92" i="6"/>
  <c r="AW92" i="6"/>
  <c r="AX92" i="6"/>
  <c r="AY92" i="6"/>
  <c r="AZ92" i="6"/>
  <c r="BA92" i="6"/>
  <c r="I93" i="6"/>
  <c r="J93" i="6"/>
  <c r="K93" i="6"/>
  <c r="L93" i="6"/>
  <c r="M93" i="6"/>
  <c r="N93" i="6"/>
  <c r="O93" i="6"/>
  <c r="P93" i="6"/>
  <c r="Q93" i="6"/>
  <c r="R93" i="6"/>
  <c r="S93" i="6"/>
  <c r="T93" i="6"/>
  <c r="U93" i="6"/>
  <c r="V93" i="6"/>
  <c r="W93" i="6"/>
  <c r="X93" i="6"/>
  <c r="Y93" i="6"/>
  <c r="Z93" i="6"/>
  <c r="AA93" i="6"/>
  <c r="AB93" i="6"/>
  <c r="AC93" i="6"/>
  <c r="AD93" i="6"/>
  <c r="AE93" i="6"/>
  <c r="AF93" i="6"/>
  <c r="AG93" i="6"/>
  <c r="AH93" i="6"/>
  <c r="AI93" i="6"/>
  <c r="AJ93" i="6"/>
  <c r="AK93" i="6"/>
  <c r="AL93" i="6"/>
  <c r="AM93" i="6"/>
  <c r="AN93" i="6"/>
  <c r="AO93" i="6"/>
  <c r="AP93" i="6"/>
  <c r="AQ93" i="6"/>
  <c r="AR93" i="6"/>
  <c r="AS93" i="6"/>
  <c r="AT93" i="6"/>
  <c r="AU93" i="6"/>
  <c r="AV93" i="6"/>
  <c r="AW93" i="6"/>
  <c r="AX93" i="6"/>
  <c r="AY93" i="6"/>
  <c r="AZ93" i="6"/>
  <c r="BA93" i="6"/>
  <c r="I94" i="6"/>
  <c r="J94" i="6"/>
  <c r="K94" i="6"/>
  <c r="L94" i="6"/>
  <c r="M94" i="6"/>
  <c r="N94" i="6"/>
  <c r="O94" i="6"/>
  <c r="P94" i="6"/>
  <c r="Q94" i="6"/>
  <c r="R94" i="6"/>
  <c r="S94" i="6"/>
  <c r="T94" i="6"/>
  <c r="U94" i="6"/>
  <c r="V94" i="6"/>
  <c r="W94" i="6"/>
  <c r="X94" i="6"/>
  <c r="Y94" i="6"/>
  <c r="Z94" i="6"/>
  <c r="AA94" i="6"/>
  <c r="AB94" i="6"/>
  <c r="AC94" i="6"/>
  <c r="AD94" i="6"/>
  <c r="AE94" i="6"/>
  <c r="AF94" i="6"/>
  <c r="AG94" i="6"/>
  <c r="AH94" i="6"/>
  <c r="AI94" i="6"/>
  <c r="AJ94" i="6"/>
  <c r="AK94" i="6"/>
  <c r="AL94" i="6"/>
  <c r="AM94" i="6"/>
  <c r="AN94" i="6"/>
  <c r="AO94" i="6"/>
  <c r="AP94" i="6"/>
  <c r="AQ94" i="6"/>
  <c r="AR94" i="6"/>
  <c r="AS94" i="6"/>
  <c r="AT94" i="6"/>
  <c r="AU94" i="6"/>
  <c r="AV94" i="6"/>
  <c r="AW94" i="6"/>
  <c r="AX94" i="6"/>
  <c r="AY94" i="6"/>
  <c r="AZ94" i="6"/>
  <c r="BA94" i="6"/>
  <c r="I95" i="6"/>
  <c r="J95" i="6"/>
  <c r="K95" i="6"/>
  <c r="L95" i="6"/>
  <c r="M95" i="6"/>
  <c r="N95" i="6"/>
  <c r="O95" i="6"/>
  <c r="P95" i="6"/>
  <c r="Q95" i="6"/>
  <c r="R95" i="6"/>
  <c r="S95" i="6"/>
  <c r="T95" i="6"/>
  <c r="U95" i="6"/>
  <c r="V95" i="6"/>
  <c r="W95" i="6"/>
  <c r="X95" i="6"/>
  <c r="Y95" i="6"/>
  <c r="Z95" i="6"/>
  <c r="AA95" i="6"/>
  <c r="AB95" i="6"/>
  <c r="AC95" i="6"/>
  <c r="AD95" i="6"/>
  <c r="AE95" i="6"/>
  <c r="AF95" i="6"/>
  <c r="AG95" i="6"/>
  <c r="AH95" i="6"/>
  <c r="AI95" i="6"/>
  <c r="AJ95" i="6"/>
  <c r="AK95" i="6"/>
  <c r="AL95" i="6"/>
  <c r="AM95" i="6"/>
  <c r="AN95" i="6"/>
  <c r="AO95" i="6"/>
  <c r="AP95" i="6"/>
  <c r="AQ95" i="6"/>
  <c r="AR95" i="6"/>
  <c r="AS95" i="6"/>
  <c r="AT95" i="6"/>
  <c r="AU95" i="6"/>
  <c r="AV95" i="6"/>
  <c r="AW95" i="6"/>
  <c r="AX95" i="6"/>
  <c r="AY95" i="6"/>
  <c r="AZ95" i="6"/>
  <c r="BA95" i="6"/>
  <c r="I96" i="6"/>
  <c r="J96" i="6"/>
  <c r="K96" i="6"/>
  <c r="L96" i="6"/>
  <c r="M96" i="6"/>
  <c r="N96" i="6"/>
  <c r="O96" i="6"/>
  <c r="P96" i="6"/>
  <c r="Q96" i="6"/>
  <c r="R96" i="6"/>
  <c r="S96" i="6"/>
  <c r="T96" i="6"/>
  <c r="U96" i="6"/>
  <c r="V96" i="6"/>
  <c r="W96" i="6"/>
  <c r="X96" i="6"/>
  <c r="Y96" i="6"/>
  <c r="Z96" i="6"/>
  <c r="AA96" i="6"/>
  <c r="AB96" i="6"/>
  <c r="AC96" i="6"/>
  <c r="AD96" i="6"/>
  <c r="AE96" i="6"/>
  <c r="AF96" i="6"/>
  <c r="AG96" i="6"/>
  <c r="AH96" i="6"/>
  <c r="AI96" i="6"/>
  <c r="AJ96" i="6"/>
  <c r="AK96" i="6"/>
  <c r="AL96" i="6"/>
  <c r="AM96" i="6"/>
  <c r="AN96" i="6"/>
  <c r="AO96" i="6"/>
  <c r="AP96" i="6"/>
  <c r="AQ96" i="6"/>
  <c r="AR96" i="6"/>
  <c r="AS96" i="6"/>
  <c r="AT96" i="6"/>
  <c r="AU96" i="6"/>
  <c r="AV96" i="6"/>
  <c r="AW96" i="6"/>
  <c r="AX96" i="6"/>
  <c r="AY96" i="6"/>
  <c r="AZ96" i="6"/>
  <c r="BA96" i="6"/>
  <c r="I97" i="6"/>
  <c r="J97" i="6"/>
  <c r="K97" i="6"/>
  <c r="L97" i="6"/>
  <c r="M97" i="6"/>
  <c r="N97" i="6"/>
  <c r="O97" i="6"/>
  <c r="P97" i="6"/>
  <c r="Q97" i="6"/>
  <c r="R97" i="6"/>
  <c r="S97" i="6"/>
  <c r="T97" i="6"/>
  <c r="U97" i="6"/>
  <c r="V97" i="6"/>
  <c r="W97" i="6"/>
  <c r="X97" i="6"/>
  <c r="Y97" i="6"/>
  <c r="Z97" i="6"/>
  <c r="AA97" i="6"/>
  <c r="AB97" i="6"/>
  <c r="AC97" i="6"/>
  <c r="AD97" i="6"/>
  <c r="AE97" i="6"/>
  <c r="AF97" i="6"/>
  <c r="AG97" i="6"/>
  <c r="AH97" i="6"/>
  <c r="AI97" i="6"/>
  <c r="AJ97" i="6"/>
  <c r="AK97" i="6"/>
  <c r="AL97" i="6"/>
  <c r="AM97" i="6"/>
  <c r="AN97" i="6"/>
  <c r="AO97" i="6"/>
  <c r="AP97" i="6"/>
  <c r="AQ97" i="6"/>
  <c r="AR97" i="6"/>
  <c r="AS97" i="6"/>
  <c r="AT97" i="6"/>
  <c r="AU97" i="6"/>
  <c r="AV97" i="6"/>
  <c r="AW97" i="6"/>
  <c r="AX97" i="6"/>
  <c r="AY97" i="6"/>
  <c r="AZ97" i="6"/>
  <c r="BA97" i="6"/>
  <c r="I98" i="6"/>
  <c r="J98" i="6"/>
  <c r="K98" i="6"/>
  <c r="L98" i="6"/>
  <c r="M98" i="6"/>
  <c r="N98" i="6"/>
  <c r="O98" i="6"/>
  <c r="P98" i="6"/>
  <c r="Q98" i="6"/>
  <c r="R98" i="6"/>
  <c r="S98" i="6"/>
  <c r="T98" i="6"/>
  <c r="U98" i="6"/>
  <c r="V98" i="6"/>
  <c r="W98" i="6"/>
  <c r="X98" i="6"/>
  <c r="Y98" i="6"/>
  <c r="Z98" i="6"/>
  <c r="AA98" i="6"/>
  <c r="AB98" i="6"/>
  <c r="AC98" i="6"/>
  <c r="AD98" i="6"/>
  <c r="AE98" i="6"/>
  <c r="AF98" i="6"/>
  <c r="AG98" i="6"/>
  <c r="AH98" i="6"/>
  <c r="AI98" i="6"/>
  <c r="AJ98" i="6"/>
  <c r="AK98" i="6"/>
  <c r="AL98" i="6"/>
  <c r="AM98" i="6"/>
  <c r="AN98" i="6"/>
  <c r="AO98" i="6"/>
  <c r="AP98" i="6"/>
  <c r="AQ98" i="6"/>
  <c r="AR98" i="6"/>
  <c r="AS98" i="6"/>
  <c r="AT98" i="6"/>
  <c r="AU98" i="6"/>
  <c r="AV98" i="6"/>
  <c r="AW98" i="6"/>
  <c r="AX98" i="6"/>
  <c r="AY98" i="6"/>
  <c r="AZ98" i="6"/>
  <c r="BA98" i="6"/>
  <c r="I99" i="6"/>
  <c r="J99" i="6"/>
  <c r="K99" i="6"/>
  <c r="L99" i="6"/>
  <c r="M99" i="6"/>
  <c r="N99" i="6"/>
  <c r="O99" i="6"/>
  <c r="P99" i="6"/>
  <c r="Q99" i="6"/>
  <c r="R99" i="6"/>
  <c r="S99" i="6"/>
  <c r="T99" i="6"/>
  <c r="U99" i="6"/>
  <c r="V99" i="6"/>
  <c r="W99" i="6"/>
  <c r="X99" i="6"/>
  <c r="Y99" i="6"/>
  <c r="Z99" i="6"/>
  <c r="AA99" i="6"/>
  <c r="AB99" i="6"/>
  <c r="AC99" i="6"/>
  <c r="AD99" i="6"/>
  <c r="AE99" i="6"/>
  <c r="AF99" i="6"/>
  <c r="AG99" i="6"/>
  <c r="AH99" i="6"/>
  <c r="AI99" i="6"/>
  <c r="AJ99" i="6"/>
  <c r="AK99" i="6"/>
  <c r="AL99" i="6"/>
  <c r="AM99" i="6"/>
  <c r="AN99" i="6"/>
  <c r="AO99" i="6"/>
  <c r="AP99" i="6"/>
  <c r="AQ99" i="6"/>
  <c r="AR99" i="6"/>
  <c r="AS99" i="6"/>
  <c r="AT99" i="6"/>
  <c r="AU99" i="6"/>
  <c r="AV99" i="6"/>
  <c r="AW99" i="6"/>
  <c r="AX99" i="6"/>
  <c r="AY99" i="6"/>
  <c r="AZ99" i="6"/>
  <c r="BA99" i="6"/>
  <c r="I100" i="6"/>
  <c r="J100" i="6"/>
  <c r="K100" i="6"/>
  <c r="L100" i="6"/>
  <c r="M100" i="6"/>
  <c r="N100" i="6"/>
  <c r="O100" i="6"/>
  <c r="P100" i="6"/>
  <c r="Q100" i="6"/>
  <c r="R100" i="6"/>
  <c r="S100" i="6"/>
  <c r="T100" i="6"/>
  <c r="U100" i="6"/>
  <c r="V100" i="6"/>
  <c r="W100" i="6"/>
  <c r="X100" i="6"/>
  <c r="Y100" i="6"/>
  <c r="Z100" i="6"/>
  <c r="AA100" i="6"/>
  <c r="AB100" i="6"/>
  <c r="AC100" i="6"/>
  <c r="AD100" i="6"/>
  <c r="AE100" i="6"/>
  <c r="AF100" i="6"/>
  <c r="AG100" i="6"/>
  <c r="AH100" i="6"/>
  <c r="AI100" i="6"/>
  <c r="AJ100" i="6"/>
  <c r="AK100" i="6"/>
  <c r="AL100" i="6"/>
  <c r="AM100" i="6"/>
  <c r="AN100" i="6"/>
  <c r="AO100" i="6"/>
  <c r="AP100" i="6"/>
  <c r="AQ100" i="6"/>
  <c r="AR100" i="6"/>
  <c r="AS100" i="6"/>
  <c r="AT100" i="6"/>
  <c r="AU100" i="6"/>
  <c r="AV100" i="6"/>
  <c r="AW100" i="6"/>
  <c r="AX100" i="6"/>
  <c r="AY100" i="6"/>
  <c r="AZ100" i="6"/>
  <c r="BA100" i="6"/>
  <c r="I101" i="6"/>
  <c r="J101" i="6"/>
  <c r="K101" i="6"/>
  <c r="L101" i="6"/>
  <c r="M101" i="6"/>
  <c r="N101" i="6"/>
  <c r="O101" i="6"/>
  <c r="P101" i="6"/>
  <c r="Q101" i="6"/>
  <c r="R101" i="6"/>
  <c r="S101" i="6"/>
  <c r="T101" i="6"/>
  <c r="U101" i="6"/>
  <c r="V101" i="6"/>
  <c r="W101" i="6"/>
  <c r="X101" i="6"/>
  <c r="Y101" i="6"/>
  <c r="Z101" i="6"/>
  <c r="AA101" i="6"/>
  <c r="AB101" i="6"/>
  <c r="AC101" i="6"/>
  <c r="AD101" i="6"/>
  <c r="AE101" i="6"/>
  <c r="AF101" i="6"/>
  <c r="AG101" i="6"/>
  <c r="AH101" i="6"/>
  <c r="AI101" i="6"/>
  <c r="AJ101" i="6"/>
  <c r="AK101" i="6"/>
  <c r="AL101" i="6"/>
  <c r="AM101" i="6"/>
  <c r="AN101" i="6"/>
  <c r="AO101" i="6"/>
  <c r="AP101" i="6"/>
  <c r="AQ101" i="6"/>
  <c r="AR101" i="6"/>
  <c r="AS101" i="6"/>
  <c r="AT101" i="6"/>
  <c r="AU101" i="6"/>
  <c r="AV101" i="6"/>
  <c r="AW101" i="6"/>
  <c r="AX101" i="6"/>
  <c r="AY101" i="6"/>
  <c r="AZ101" i="6"/>
  <c r="BA101" i="6"/>
  <c r="I102" i="6"/>
  <c r="J102" i="6"/>
  <c r="K102" i="6"/>
  <c r="L102" i="6"/>
  <c r="M102" i="6"/>
  <c r="N102" i="6"/>
  <c r="O102" i="6"/>
  <c r="P102" i="6"/>
  <c r="Q102" i="6"/>
  <c r="R102" i="6"/>
  <c r="S102" i="6"/>
  <c r="T102" i="6"/>
  <c r="U102" i="6"/>
  <c r="V102" i="6"/>
  <c r="W102" i="6"/>
  <c r="X102" i="6"/>
  <c r="Y102" i="6"/>
  <c r="Z102" i="6"/>
  <c r="AA102" i="6"/>
  <c r="AB102" i="6"/>
  <c r="AC102" i="6"/>
  <c r="AD102" i="6"/>
  <c r="AE102" i="6"/>
  <c r="AF102" i="6"/>
  <c r="AG102" i="6"/>
  <c r="AH102" i="6"/>
  <c r="AI102" i="6"/>
  <c r="AJ102" i="6"/>
  <c r="AK102" i="6"/>
  <c r="AL102" i="6"/>
  <c r="AM102" i="6"/>
  <c r="AN102" i="6"/>
  <c r="AO102" i="6"/>
  <c r="AP102" i="6"/>
  <c r="AQ102" i="6"/>
  <c r="AR102" i="6"/>
  <c r="AS102" i="6"/>
  <c r="AT102" i="6"/>
  <c r="AU102" i="6"/>
  <c r="AV102" i="6"/>
  <c r="AW102" i="6"/>
  <c r="AX102" i="6"/>
  <c r="AY102" i="6"/>
  <c r="AZ102" i="6"/>
  <c r="BA102" i="6"/>
  <c r="I103" i="6"/>
  <c r="J103" i="6"/>
  <c r="K103" i="6"/>
  <c r="L103" i="6"/>
  <c r="M103" i="6"/>
  <c r="N103" i="6"/>
  <c r="O103" i="6"/>
  <c r="P103" i="6"/>
  <c r="Q103" i="6"/>
  <c r="R103" i="6"/>
  <c r="S103" i="6"/>
  <c r="T103" i="6"/>
  <c r="U103" i="6"/>
  <c r="V103" i="6"/>
  <c r="W103" i="6"/>
  <c r="X103" i="6"/>
  <c r="Y103" i="6"/>
  <c r="Z103" i="6"/>
  <c r="AA103" i="6"/>
  <c r="AB103" i="6"/>
  <c r="AC103" i="6"/>
  <c r="AD103" i="6"/>
  <c r="AE103" i="6"/>
  <c r="AF103" i="6"/>
  <c r="AG103" i="6"/>
  <c r="AH103" i="6"/>
  <c r="AI103" i="6"/>
  <c r="AJ103" i="6"/>
  <c r="AK103" i="6"/>
  <c r="AL103" i="6"/>
  <c r="AM103" i="6"/>
  <c r="AN103" i="6"/>
  <c r="AO103" i="6"/>
  <c r="AP103" i="6"/>
  <c r="AQ103" i="6"/>
  <c r="AR103" i="6"/>
  <c r="AS103" i="6"/>
  <c r="AT103" i="6"/>
  <c r="AU103" i="6"/>
  <c r="AV103" i="6"/>
  <c r="AW103" i="6"/>
  <c r="AX103" i="6"/>
  <c r="AY103" i="6"/>
  <c r="AZ103" i="6"/>
  <c r="BA103" i="6"/>
  <c r="I104" i="6"/>
  <c r="J104" i="6"/>
  <c r="K104" i="6"/>
  <c r="L104" i="6"/>
  <c r="M104" i="6"/>
  <c r="N104" i="6"/>
  <c r="O104" i="6"/>
  <c r="P104" i="6"/>
  <c r="Q104" i="6"/>
  <c r="R104" i="6"/>
  <c r="S104" i="6"/>
  <c r="T104" i="6"/>
  <c r="U104" i="6"/>
  <c r="V104" i="6"/>
  <c r="W104" i="6"/>
  <c r="X104" i="6"/>
  <c r="Y104" i="6"/>
  <c r="Z104" i="6"/>
  <c r="AA104" i="6"/>
  <c r="AB104" i="6"/>
  <c r="AC104" i="6"/>
  <c r="AD104" i="6"/>
  <c r="AE104" i="6"/>
  <c r="AF104" i="6"/>
  <c r="AG104" i="6"/>
  <c r="AH104" i="6"/>
  <c r="AI104" i="6"/>
  <c r="AJ104" i="6"/>
  <c r="AK104" i="6"/>
  <c r="AL104" i="6"/>
  <c r="AM104" i="6"/>
  <c r="AN104" i="6"/>
  <c r="AO104" i="6"/>
  <c r="AP104" i="6"/>
  <c r="AQ104" i="6"/>
  <c r="AR104" i="6"/>
  <c r="AS104" i="6"/>
  <c r="AT104" i="6"/>
  <c r="AU104" i="6"/>
  <c r="AV104" i="6"/>
  <c r="AW104" i="6"/>
  <c r="AX104" i="6"/>
  <c r="AY104" i="6"/>
  <c r="AZ104" i="6"/>
  <c r="BA104" i="6"/>
  <c r="I105" i="6"/>
  <c r="J105" i="6"/>
  <c r="K105" i="6"/>
  <c r="L105" i="6"/>
  <c r="M105" i="6"/>
  <c r="N105" i="6"/>
  <c r="O105" i="6"/>
  <c r="P105" i="6"/>
  <c r="Q105" i="6"/>
  <c r="R105" i="6"/>
  <c r="S105" i="6"/>
  <c r="T105" i="6"/>
  <c r="U105" i="6"/>
  <c r="V105" i="6"/>
  <c r="W105" i="6"/>
  <c r="X105" i="6"/>
  <c r="Y105" i="6"/>
  <c r="Z105" i="6"/>
  <c r="AA105" i="6"/>
  <c r="AB105" i="6"/>
  <c r="AC105" i="6"/>
  <c r="AD105" i="6"/>
  <c r="AE105" i="6"/>
  <c r="AF105" i="6"/>
  <c r="AG105" i="6"/>
  <c r="AH105" i="6"/>
  <c r="AI105" i="6"/>
  <c r="AJ105" i="6"/>
  <c r="AK105" i="6"/>
  <c r="AL105" i="6"/>
  <c r="AM105" i="6"/>
  <c r="AN105" i="6"/>
  <c r="AO105" i="6"/>
  <c r="AP105" i="6"/>
  <c r="AQ105" i="6"/>
  <c r="AR105" i="6"/>
  <c r="AS105" i="6"/>
  <c r="AT105" i="6"/>
  <c r="AU105" i="6"/>
  <c r="AV105" i="6"/>
  <c r="AW105" i="6"/>
  <c r="AX105" i="6"/>
  <c r="AY105" i="6"/>
  <c r="AZ105" i="6"/>
  <c r="BA105" i="6"/>
  <c r="I106" i="6"/>
  <c r="J106" i="6"/>
  <c r="K106" i="6"/>
  <c r="L106" i="6"/>
  <c r="M106" i="6"/>
  <c r="N106" i="6"/>
  <c r="O106" i="6"/>
  <c r="P106" i="6"/>
  <c r="Q106" i="6"/>
  <c r="R106" i="6"/>
  <c r="S106" i="6"/>
  <c r="T106" i="6"/>
  <c r="U106" i="6"/>
  <c r="V106" i="6"/>
  <c r="W106" i="6"/>
  <c r="X106" i="6"/>
  <c r="Y106" i="6"/>
  <c r="Z106" i="6"/>
  <c r="AA106" i="6"/>
  <c r="AB106" i="6"/>
  <c r="AC106" i="6"/>
  <c r="AD106" i="6"/>
  <c r="AE106" i="6"/>
  <c r="AF106" i="6"/>
  <c r="AG106" i="6"/>
  <c r="AH106" i="6"/>
  <c r="AI106" i="6"/>
  <c r="AJ106" i="6"/>
  <c r="AK106" i="6"/>
  <c r="AL106" i="6"/>
  <c r="AM106" i="6"/>
  <c r="AN106" i="6"/>
  <c r="AO106" i="6"/>
  <c r="AP106" i="6"/>
  <c r="AQ106" i="6"/>
  <c r="AR106" i="6"/>
  <c r="AS106" i="6"/>
  <c r="AT106" i="6"/>
  <c r="AU106" i="6"/>
  <c r="AV106" i="6"/>
  <c r="AW106" i="6"/>
  <c r="AX106" i="6"/>
  <c r="AY106" i="6"/>
  <c r="AZ106" i="6"/>
  <c r="BA106" i="6"/>
  <c r="I107" i="6"/>
  <c r="J107" i="6"/>
  <c r="K107" i="6"/>
  <c r="L107" i="6"/>
  <c r="M107" i="6"/>
  <c r="N107" i="6"/>
  <c r="O107" i="6"/>
  <c r="P107" i="6"/>
  <c r="Q107" i="6"/>
  <c r="R107" i="6"/>
  <c r="S107" i="6"/>
  <c r="T107" i="6"/>
  <c r="U107" i="6"/>
  <c r="V107" i="6"/>
  <c r="W107" i="6"/>
  <c r="X107" i="6"/>
  <c r="Y107" i="6"/>
  <c r="Z107" i="6"/>
  <c r="AA107" i="6"/>
  <c r="AB107" i="6"/>
  <c r="AC107" i="6"/>
  <c r="AD107" i="6"/>
  <c r="AE107" i="6"/>
  <c r="AF107" i="6"/>
  <c r="AG107" i="6"/>
  <c r="AH107" i="6"/>
  <c r="AI107" i="6"/>
  <c r="AJ107" i="6"/>
  <c r="AK107" i="6"/>
  <c r="AL107" i="6"/>
  <c r="AM107" i="6"/>
  <c r="AN107" i="6"/>
  <c r="AO107" i="6"/>
  <c r="AP107" i="6"/>
  <c r="AQ107" i="6"/>
  <c r="AR107" i="6"/>
  <c r="AS107" i="6"/>
  <c r="AT107" i="6"/>
  <c r="AU107" i="6"/>
  <c r="AV107" i="6"/>
  <c r="AW107" i="6"/>
  <c r="AX107" i="6"/>
  <c r="AY107" i="6"/>
  <c r="AZ107" i="6"/>
  <c r="BA107" i="6"/>
  <c r="I108" i="6"/>
  <c r="J108" i="6"/>
  <c r="K108" i="6"/>
  <c r="L108" i="6"/>
  <c r="M108" i="6"/>
  <c r="N108" i="6"/>
  <c r="O108" i="6"/>
  <c r="P108" i="6"/>
  <c r="Q108" i="6"/>
  <c r="R108" i="6"/>
  <c r="S108" i="6"/>
  <c r="T108" i="6"/>
  <c r="U108" i="6"/>
  <c r="V108" i="6"/>
  <c r="W108" i="6"/>
  <c r="X108" i="6"/>
  <c r="Y108" i="6"/>
  <c r="Z108" i="6"/>
  <c r="AA108" i="6"/>
  <c r="AB108" i="6"/>
  <c r="AC108" i="6"/>
  <c r="AD108" i="6"/>
  <c r="AE108" i="6"/>
  <c r="AF108" i="6"/>
  <c r="AG108" i="6"/>
  <c r="AH108" i="6"/>
  <c r="AI108" i="6"/>
  <c r="AJ108" i="6"/>
  <c r="AK108" i="6"/>
  <c r="AL108" i="6"/>
  <c r="AM108" i="6"/>
  <c r="AN108" i="6"/>
  <c r="AO108" i="6"/>
  <c r="AP108" i="6"/>
  <c r="AQ108" i="6"/>
  <c r="AR108" i="6"/>
  <c r="AS108" i="6"/>
  <c r="AT108" i="6"/>
  <c r="AU108" i="6"/>
  <c r="AV108" i="6"/>
  <c r="AW108" i="6"/>
  <c r="AX108" i="6"/>
  <c r="AY108" i="6"/>
  <c r="AZ108" i="6"/>
  <c r="BA108" i="6"/>
  <c r="I109" i="6"/>
  <c r="J109" i="6"/>
  <c r="K109" i="6"/>
  <c r="L109" i="6"/>
  <c r="M109" i="6"/>
  <c r="N109" i="6"/>
  <c r="O109" i="6"/>
  <c r="P109" i="6"/>
  <c r="Q109" i="6"/>
  <c r="R109" i="6"/>
  <c r="S109" i="6"/>
  <c r="T109" i="6"/>
  <c r="U109" i="6"/>
  <c r="V109" i="6"/>
  <c r="W109" i="6"/>
  <c r="X109" i="6"/>
  <c r="Y109" i="6"/>
  <c r="Z109" i="6"/>
  <c r="AA109" i="6"/>
  <c r="AB109" i="6"/>
  <c r="AC109" i="6"/>
  <c r="AD109" i="6"/>
  <c r="AE109" i="6"/>
  <c r="AF109" i="6"/>
  <c r="AG109" i="6"/>
  <c r="AH109" i="6"/>
  <c r="AI109" i="6"/>
  <c r="AJ109" i="6"/>
  <c r="AK109" i="6"/>
  <c r="AL109" i="6"/>
  <c r="AM109" i="6"/>
  <c r="AN109" i="6"/>
  <c r="AO109" i="6"/>
  <c r="AP109" i="6"/>
  <c r="AQ109" i="6"/>
  <c r="AR109" i="6"/>
  <c r="AS109" i="6"/>
  <c r="AT109" i="6"/>
  <c r="AU109" i="6"/>
  <c r="AV109" i="6"/>
  <c r="AW109" i="6"/>
  <c r="AX109" i="6"/>
  <c r="AY109" i="6"/>
  <c r="AZ109" i="6"/>
  <c r="BA109" i="6"/>
  <c r="I110" i="6"/>
  <c r="J110" i="6"/>
  <c r="K110" i="6"/>
  <c r="L110" i="6"/>
  <c r="M110" i="6"/>
  <c r="N110" i="6"/>
  <c r="O110" i="6"/>
  <c r="P110" i="6"/>
  <c r="Q110" i="6"/>
  <c r="R110" i="6"/>
  <c r="S110" i="6"/>
  <c r="T110" i="6"/>
  <c r="U110" i="6"/>
  <c r="V110" i="6"/>
  <c r="W110" i="6"/>
  <c r="X110" i="6"/>
  <c r="Y110" i="6"/>
  <c r="Z110" i="6"/>
  <c r="AA110" i="6"/>
  <c r="AB110" i="6"/>
  <c r="AC110" i="6"/>
  <c r="AD110" i="6"/>
  <c r="AE110" i="6"/>
  <c r="AF110" i="6"/>
  <c r="AG110" i="6"/>
  <c r="AH110" i="6"/>
  <c r="AI110" i="6"/>
  <c r="AJ110" i="6"/>
  <c r="AK110" i="6"/>
  <c r="AL110" i="6"/>
  <c r="AM110" i="6"/>
  <c r="AN110" i="6"/>
  <c r="AO110" i="6"/>
  <c r="AP110" i="6"/>
  <c r="AQ110" i="6"/>
  <c r="AR110" i="6"/>
  <c r="AS110" i="6"/>
  <c r="AT110" i="6"/>
  <c r="AU110" i="6"/>
  <c r="AV110" i="6"/>
  <c r="AW110" i="6"/>
  <c r="AX110" i="6"/>
  <c r="AY110" i="6"/>
  <c r="AZ110" i="6"/>
  <c r="BA110" i="6"/>
  <c r="I111" i="6"/>
  <c r="J111" i="6"/>
  <c r="K111" i="6"/>
  <c r="L111" i="6"/>
  <c r="M111" i="6"/>
  <c r="N111" i="6"/>
  <c r="O111" i="6"/>
  <c r="P111" i="6"/>
  <c r="Q111" i="6"/>
  <c r="R111" i="6"/>
  <c r="S111" i="6"/>
  <c r="T111" i="6"/>
  <c r="U111" i="6"/>
  <c r="V111" i="6"/>
  <c r="W111" i="6"/>
  <c r="X111" i="6"/>
  <c r="Y111" i="6"/>
  <c r="Z111" i="6"/>
  <c r="AA111" i="6"/>
  <c r="AB111" i="6"/>
  <c r="AC111" i="6"/>
  <c r="AD111" i="6"/>
  <c r="AE111" i="6"/>
  <c r="AF111" i="6"/>
  <c r="AG111" i="6"/>
  <c r="AH111" i="6"/>
  <c r="AI111" i="6"/>
  <c r="AJ111" i="6"/>
  <c r="AK111" i="6"/>
  <c r="AL111" i="6"/>
  <c r="AM111" i="6"/>
  <c r="AN111" i="6"/>
  <c r="AO111" i="6"/>
  <c r="AP111" i="6"/>
  <c r="AQ111" i="6"/>
  <c r="AR111" i="6"/>
  <c r="AS111" i="6"/>
  <c r="AT111" i="6"/>
  <c r="AU111" i="6"/>
  <c r="AV111" i="6"/>
  <c r="AW111" i="6"/>
  <c r="AX111" i="6"/>
  <c r="AY111" i="6"/>
  <c r="AZ111" i="6"/>
  <c r="BA111" i="6"/>
  <c r="I112" i="6"/>
  <c r="J112" i="6"/>
  <c r="K112" i="6"/>
  <c r="L112" i="6"/>
  <c r="M112" i="6"/>
  <c r="N112" i="6"/>
  <c r="O112" i="6"/>
  <c r="P112" i="6"/>
  <c r="Q112" i="6"/>
  <c r="R112" i="6"/>
  <c r="S112" i="6"/>
  <c r="T112" i="6"/>
  <c r="U112" i="6"/>
  <c r="V112" i="6"/>
  <c r="W112" i="6"/>
  <c r="X112" i="6"/>
  <c r="Y112" i="6"/>
  <c r="Z112" i="6"/>
  <c r="AA112" i="6"/>
  <c r="AB112" i="6"/>
  <c r="AC112" i="6"/>
  <c r="AD112" i="6"/>
  <c r="AE112" i="6"/>
  <c r="AF112" i="6"/>
  <c r="AG112" i="6"/>
  <c r="AH112" i="6"/>
  <c r="AI112" i="6"/>
  <c r="AJ112" i="6"/>
  <c r="AK112" i="6"/>
  <c r="AL112" i="6"/>
  <c r="AM112" i="6"/>
  <c r="AN112" i="6"/>
  <c r="AO112" i="6"/>
  <c r="AP112" i="6"/>
  <c r="AQ112" i="6"/>
  <c r="AR112" i="6"/>
  <c r="AS112" i="6"/>
  <c r="AT112" i="6"/>
  <c r="AU112" i="6"/>
  <c r="AV112" i="6"/>
  <c r="AW112" i="6"/>
  <c r="AX112" i="6"/>
  <c r="AY112" i="6"/>
  <c r="AZ112" i="6"/>
  <c r="BA112" i="6"/>
  <c r="I113" i="6"/>
  <c r="J113" i="6"/>
  <c r="K113" i="6"/>
  <c r="L113" i="6"/>
  <c r="M113" i="6"/>
  <c r="N113" i="6"/>
  <c r="O113" i="6"/>
  <c r="P113" i="6"/>
  <c r="Q113" i="6"/>
  <c r="R113" i="6"/>
  <c r="S113" i="6"/>
  <c r="T113" i="6"/>
  <c r="U113" i="6"/>
  <c r="V113" i="6"/>
  <c r="W113" i="6"/>
  <c r="X113" i="6"/>
  <c r="Y113" i="6"/>
  <c r="Z113" i="6"/>
  <c r="AA113" i="6"/>
  <c r="AB113" i="6"/>
  <c r="AC113" i="6"/>
  <c r="AD113" i="6"/>
  <c r="AE113" i="6"/>
  <c r="AF113" i="6"/>
  <c r="AG113" i="6"/>
  <c r="AH113" i="6"/>
  <c r="AI113" i="6"/>
  <c r="AJ113" i="6"/>
  <c r="AK113" i="6"/>
  <c r="AL113" i="6"/>
  <c r="AM113" i="6"/>
  <c r="AN113" i="6"/>
  <c r="AO113" i="6"/>
  <c r="AP113" i="6"/>
  <c r="AQ113" i="6"/>
  <c r="AR113" i="6"/>
  <c r="AS113" i="6"/>
  <c r="AT113" i="6"/>
  <c r="AU113" i="6"/>
  <c r="AV113" i="6"/>
  <c r="AW113" i="6"/>
  <c r="AX113" i="6"/>
  <c r="AY113" i="6"/>
  <c r="AZ113" i="6"/>
  <c r="BA113" i="6"/>
  <c r="I114" i="6"/>
  <c r="J114" i="6"/>
  <c r="K114" i="6"/>
  <c r="L114" i="6"/>
  <c r="M114" i="6"/>
  <c r="N114" i="6"/>
  <c r="O114" i="6"/>
  <c r="P114" i="6"/>
  <c r="Q114" i="6"/>
  <c r="R114" i="6"/>
  <c r="S114" i="6"/>
  <c r="T114" i="6"/>
  <c r="U114" i="6"/>
  <c r="V114" i="6"/>
  <c r="W114" i="6"/>
  <c r="X114" i="6"/>
  <c r="Y114" i="6"/>
  <c r="Z114" i="6"/>
  <c r="AA114" i="6"/>
  <c r="AB114" i="6"/>
  <c r="AC114" i="6"/>
  <c r="AD114" i="6"/>
  <c r="AE114" i="6"/>
  <c r="AF114" i="6"/>
  <c r="AG114" i="6"/>
  <c r="AH114" i="6"/>
  <c r="AI114" i="6"/>
  <c r="AJ114" i="6"/>
  <c r="AK114" i="6"/>
  <c r="AL114" i="6"/>
  <c r="AM114" i="6"/>
  <c r="AN114" i="6"/>
  <c r="AO114" i="6"/>
  <c r="AP114" i="6"/>
  <c r="AQ114" i="6"/>
  <c r="AR114" i="6"/>
  <c r="AS114" i="6"/>
  <c r="AT114" i="6"/>
  <c r="AU114" i="6"/>
  <c r="AV114" i="6"/>
  <c r="AW114" i="6"/>
  <c r="AX114" i="6"/>
  <c r="AY114" i="6"/>
  <c r="AZ114" i="6"/>
  <c r="BA114" i="6"/>
  <c r="I115" i="6"/>
  <c r="J115" i="6"/>
  <c r="K115" i="6"/>
  <c r="L115" i="6"/>
  <c r="M115" i="6"/>
  <c r="N115" i="6"/>
  <c r="O115" i="6"/>
  <c r="P115" i="6"/>
  <c r="Q115" i="6"/>
  <c r="R115" i="6"/>
  <c r="S115" i="6"/>
  <c r="T115" i="6"/>
  <c r="U115" i="6"/>
  <c r="V115" i="6"/>
  <c r="W115" i="6"/>
  <c r="X115" i="6"/>
  <c r="Y115" i="6"/>
  <c r="Z115" i="6"/>
  <c r="AA115" i="6"/>
  <c r="AB115" i="6"/>
  <c r="AC115" i="6"/>
  <c r="AD115" i="6"/>
  <c r="AE115" i="6"/>
  <c r="AF115" i="6"/>
  <c r="AG115" i="6"/>
  <c r="AH115" i="6"/>
  <c r="AI115" i="6"/>
  <c r="AJ115" i="6"/>
  <c r="AK115" i="6"/>
  <c r="AL115" i="6"/>
  <c r="AM115" i="6"/>
  <c r="AN115" i="6"/>
  <c r="AO115" i="6"/>
  <c r="AP115" i="6"/>
  <c r="AQ115" i="6"/>
  <c r="AR115" i="6"/>
  <c r="AS115" i="6"/>
  <c r="AT115" i="6"/>
  <c r="AU115" i="6"/>
  <c r="AV115" i="6"/>
  <c r="AW115" i="6"/>
  <c r="AX115" i="6"/>
  <c r="AY115" i="6"/>
  <c r="AZ115" i="6"/>
  <c r="BA115" i="6"/>
  <c r="I116" i="6"/>
  <c r="J116" i="6"/>
  <c r="K116" i="6"/>
  <c r="L116" i="6"/>
  <c r="M116" i="6"/>
  <c r="N116" i="6"/>
  <c r="O116" i="6"/>
  <c r="P116" i="6"/>
  <c r="Q116" i="6"/>
  <c r="R116" i="6"/>
  <c r="S116" i="6"/>
  <c r="T116" i="6"/>
  <c r="U116" i="6"/>
  <c r="V116" i="6"/>
  <c r="W116" i="6"/>
  <c r="X116" i="6"/>
  <c r="Y116" i="6"/>
  <c r="Z116" i="6"/>
  <c r="AA116" i="6"/>
  <c r="AB116" i="6"/>
  <c r="AC116" i="6"/>
  <c r="AD116" i="6"/>
  <c r="AE116" i="6"/>
  <c r="AF116" i="6"/>
  <c r="AG116" i="6"/>
  <c r="AH116" i="6"/>
  <c r="AI116" i="6"/>
  <c r="AJ116" i="6"/>
  <c r="AK116" i="6"/>
  <c r="AL116" i="6"/>
  <c r="AM116" i="6"/>
  <c r="AN116" i="6"/>
  <c r="AO116" i="6"/>
  <c r="AP116" i="6"/>
  <c r="AQ116" i="6"/>
  <c r="AR116" i="6"/>
  <c r="AS116" i="6"/>
  <c r="AT116" i="6"/>
  <c r="AU116" i="6"/>
  <c r="AV116" i="6"/>
  <c r="AW116" i="6"/>
  <c r="AX116" i="6"/>
  <c r="AY116" i="6"/>
  <c r="AZ116" i="6"/>
  <c r="BA116" i="6"/>
  <c r="I117" i="6"/>
  <c r="J117" i="6"/>
  <c r="K117" i="6"/>
  <c r="L117" i="6"/>
  <c r="M117" i="6"/>
  <c r="N117" i="6"/>
  <c r="O117" i="6"/>
  <c r="P117" i="6"/>
  <c r="Q117" i="6"/>
  <c r="R117" i="6"/>
  <c r="S117" i="6"/>
  <c r="T117" i="6"/>
  <c r="U117" i="6"/>
  <c r="V117" i="6"/>
  <c r="W117" i="6"/>
  <c r="X117" i="6"/>
  <c r="Y117" i="6"/>
  <c r="Z117" i="6"/>
  <c r="AA117" i="6"/>
  <c r="AB117" i="6"/>
  <c r="AC117" i="6"/>
  <c r="AD117" i="6"/>
  <c r="AE117" i="6"/>
  <c r="AF117" i="6"/>
  <c r="AG117" i="6"/>
  <c r="AH117" i="6"/>
  <c r="AI117" i="6"/>
  <c r="AJ117" i="6"/>
  <c r="AK117" i="6"/>
  <c r="AL117" i="6"/>
  <c r="AM117" i="6"/>
  <c r="AN117" i="6"/>
  <c r="AO117" i="6"/>
  <c r="AP117" i="6"/>
  <c r="AQ117" i="6"/>
  <c r="AR117" i="6"/>
  <c r="AS117" i="6"/>
  <c r="AT117" i="6"/>
  <c r="AU117" i="6"/>
  <c r="AV117" i="6"/>
  <c r="AW117" i="6"/>
  <c r="AX117" i="6"/>
  <c r="AY117" i="6"/>
  <c r="AZ117" i="6"/>
  <c r="BA117" i="6"/>
  <c r="I118" i="6"/>
  <c r="J118" i="6"/>
  <c r="K118" i="6"/>
  <c r="L118" i="6"/>
  <c r="M118" i="6"/>
  <c r="N118" i="6"/>
  <c r="O118" i="6"/>
  <c r="P118" i="6"/>
  <c r="Q118" i="6"/>
  <c r="R118" i="6"/>
  <c r="S118" i="6"/>
  <c r="T118" i="6"/>
  <c r="U118" i="6"/>
  <c r="V118" i="6"/>
  <c r="W118" i="6"/>
  <c r="X118" i="6"/>
  <c r="Y118" i="6"/>
  <c r="Z118" i="6"/>
  <c r="AA118" i="6"/>
  <c r="AB118" i="6"/>
  <c r="AC118" i="6"/>
  <c r="AD118" i="6"/>
  <c r="AE118" i="6"/>
  <c r="AF118" i="6"/>
  <c r="AG118" i="6"/>
  <c r="AH118" i="6"/>
  <c r="AI118" i="6"/>
  <c r="AJ118" i="6"/>
  <c r="AK118" i="6"/>
  <c r="AL118" i="6"/>
  <c r="AM118" i="6"/>
  <c r="AN118" i="6"/>
  <c r="AO118" i="6"/>
  <c r="AP118" i="6"/>
  <c r="AQ118" i="6"/>
  <c r="AR118" i="6"/>
  <c r="AS118" i="6"/>
  <c r="AT118" i="6"/>
  <c r="AU118" i="6"/>
  <c r="AV118" i="6"/>
  <c r="AW118" i="6"/>
  <c r="AX118" i="6"/>
  <c r="AY118" i="6"/>
  <c r="AZ118" i="6"/>
  <c r="BA118" i="6"/>
  <c r="I119" i="6"/>
  <c r="J119" i="6"/>
  <c r="K119" i="6"/>
  <c r="L119" i="6"/>
  <c r="M119" i="6"/>
  <c r="N119" i="6"/>
  <c r="O119" i="6"/>
  <c r="P119" i="6"/>
  <c r="Q119" i="6"/>
  <c r="R119" i="6"/>
  <c r="S119" i="6"/>
  <c r="T119" i="6"/>
  <c r="U119" i="6"/>
  <c r="V119" i="6"/>
  <c r="W119" i="6"/>
  <c r="X119" i="6"/>
  <c r="Y119" i="6"/>
  <c r="Z119" i="6"/>
  <c r="AA119" i="6"/>
  <c r="AB119" i="6"/>
  <c r="AC119" i="6"/>
  <c r="AD119" i="6"/>
  <c r="AE119" i="6"/>
  <c r="AF119" i="6"/>
  <c r="AG119" i="6"/>
  <c r="AH119" i="6"/>
  <c r="AI119" i="6"/>
  <c r="AJ119" i="6"/>
  <c r="AK119" i="6"/>
  <c r="AL119" i="6"/>
  <c r="AM119" i="6"/>
  <c r="AN119" i="6"/>
  <c r="AO119" i="6"/>
  <c r="AP119" i="6"/>
  <c r="AQ119" i="6"/>
  <c r="AR119" i="6"/>
  <c r="AS119" i="6"/>
  <c r="AT119" i="6"/>
  <c r="AU119" i="6"/>
  <c r="AV119" i="6"/>
  <c r="AW119" i="6"/>
  <c r="AX119" i="6"/>
  <c r="AY119" i="6"/>
  <c r="AZ119" i="6"/>
  <c r="BA119" i="6"/>
  <c r="I120" i="6"/>
  <c r="J120" i="6"/>
  <c r="K120" i="6"/>
  <c r="L120" i="6"/>
  <c r="M120" i="6"/>
  <c r="N120" i="6"/>
  <c r="O120" i="6"/>
  <c r="P120" i="6"/>
  <c r="Q120" i="6"/>
  <c r="R120" i="6"/>
  <c r="S120" i="6"/>
  <c r="T120" i="6"/>
  <c r="U120" i="6"/>
  <c r="V120" i="6"/>
  <c r="W120" i="6"/>
  <c r="X120" i="6"/>
  <c r="Y120" i="6"/>
  <c r="Z120" i="6"/>
  <c r="AA120" i="6"/>
  <c r="AB120" i="6"/>
  <c r="AC120" i="6"/>
  <c r="AD120" i="6"/>
  <c r="AE120" i="6"/>
  <c r="AF120" i="6"/>
  <c r="AG120" i="6"/>
  <c r="AH120" i="6"/>
  <c r="AI120" i="6"/>
  <c r="AJ120" i="6"/>
  <c r="AK120" i="6"/>
  <c r="AL120" i="6"/>
  <c r="AM120" i="6"/>
  <c r="AN120" i="6"/>
  <c r="AO120" i="6"/>
  <c r="AP120" i="6"/>
  <c r="AQ120" i="6"/>
  <c r="AR120" i="6"/>
  <c r="AS120" i="6"/>
  <c r="AT120" i="6"/>
  <c r="AU120" i="6"/>
  <c r="AV120" i="6"/>
  <c r="AW120" i="6"/>
  <c r="AX120" i="6"/>
  <c r="AY120" i="6"/>
  <c r="AZ120" i="6"/>
  <c r="BA120" i="6"/>
  <c r="I121" i="6"/>
  <c r="J121" i="6"/>
  <c r="K121" i="6"/>
  <c r="L121" i="6"/>
  <c r="M121" i="6"/>
  <c r="N121" i="6"/>
  <c r="O121" i="6"/>
  <c r="P121" i="6"/>
  <c r="Q121" i="6"/>
  <c r="R121" i="6"/>
  <c r="S121" i="6"/>
  <c r="T121" i="6"/>
  <c r="U121" i="6"/>
  <c r="V121" i="6"/>
  <c r="W121" i="6"/>
  <c r="X121" i="6"/>
  <c r="Y121" i="6"/>
  <c r="Z121" i="6"/>
  <c r="AA121" i="6"/>
  <c r="AB121" i="6"/>
  <c r="AC121" i="6"/>
  <c r="AD121" i="6"/>
  <c r="AE121" i="6"/>
  <c r="AF121" i="6"/>
  <c r="AG121" i="6"/>
  <c r="AH121" i="6"/>
  <c r="AI121" i="6"/>
  <c r="AJ121" i="6"/>
  <c r="AK121" i="6"/>
  <c r="AL121" i="6"/>
  <c r="AM121" i="6"/>
  <c r="AN121" i="6"/>
  <c r="AO121" i="6"/>
  <c r="AP121" i="6"/>
  <c r="AQ121" i="6"/>
  <c r="AR121" i="6"/>
  <c r="AS121" i="6"/>
  <c r="AT121" i="6"/>
  <c r="AU121" i="6"/>
  <c r="AV121" i="6"/>
  <c r="AW121" i="6"/>
  <c r="AX121" i="6"/>
  <c r="AY121" i="6"/>
  <c r="AZ121" i="6"/>
  <c r="BA121" i="6"/>
  <c r="I122" i="6"/>
  <c r="J122" i="6"/>
  <c r="K122" i="6"/>
  <c r="L122" i="6"/>
  <c r="M122" i="6"/>
  <c r="N122" i="6"/>
  <c r="O122" i="6"/>
  <c r="P122" i="6"/>
  <c r="Q122" i="6"/>
  <c r="R122" i="6"/>
  <c r="S122" i="6"/>
  <c r="T122" i="6"/>
  <c r="U122" i="6"/>
  <c r="V122" i="6"/>
  <c r="W122" i="6"/>
  <c r="X122" i="6"/>
  <c r="Y122" i="6"/>
  <c r="Z122" i="6"/>
  <c r="AA122" i="6"/>
  <c r="AB122" i="6"/>
  <c r="AC122" i="6"/>
  <c r="AD122" i="6"/>
  <c r="AE122" i="6"/>
  <c r="AF122" i="6"/>
  <c r="AG122" i="6"/>
  <c r="AH122" i="6"/>
  <c r="AI122" i="6"/>
  <c r="AJ122" i="6"/>
  <c r="AK122" i="6"/>
  <c r="AL122" i="6"/>
  <c r="AM122" i="6"/>
  <c r="AN122" i="6"/>
  <c r="AO122" i="6"/>
  <c r="AP122" i="6"/>
  <c r="AQ122" i="6"/>
  <c r="AR122" i="6"/>
  <c r="AS122" i="6"/>
  <c r="AT122" i="6"/>
  <c r="AU122" i="6"/>
  <c r="AV122" i="6"/>
  <c r="AW122" i="6"/>
  <c r="AX122" i="6"/>
  <c r="AY122" i="6"/>
  <c r="AZ122" i="6"/>
  <c r="BA122" i="6"/>
  <c r="I123" i="6"/>
  <c r="J123" i="6"/>
  <c r="K123" i="6"/>
  <c r="L123" i="6"/>
  <c r="M123" i="6"/>
  <c r="N123" i="6"/>
  <c r="O123" i="6"/>
  <c r="P123" i="6"/>
  <c r="Q123" i="6"/>
  <c r="R123" i="6"/>
  <c r="S123" i="6"/>
  <c r="T123" i="6"/>
  <c r="U123" i="6"/>
  <c r="V123" i="6"/>
  <c r="W123" i="6"/>
  <c r="X123" i="6"/>
  <c r="Y123" i="6"/>
  <c r="Z123" i="6"/>
  <c r="AA123" i="6"/>
  <c r="AB123" i="6"/>
  <c r="AC123" i="6"/>
  <c r="AD123" i="6"/>
  <c r="AE123" i="6"/>
  <c r="AF123" i="6"/>
  <c r="AG123" i="6"/>
  <c r="AH123" i="6"/>
  <c r="AI123" i="6"/>
  <c r="AJ123" i="6"/>
  <c r="AK123" i="6"/>
  <c r="AL123" i="6"/>
  <c r="AM123" i="6"/>
  <c r="AN123" i="6"/>
  <c r="AO123" i="6"/>
  <c r="AP123" i="6"/>
  <c r="AQ123" i="6"/>
  <c r="AR123" i="6"/>
  <c r="AS123" i="6"/>
  <c r="AT123" i="6"/>
  <c r="AU123" i="6"/>
  <c r="AV123" i="6"/>
  <c r="AW123" i="6"/>
  <c r="AX123" i="6"/>
  <c r="AY123" i="6"/>
  <c r="AZ123" i="6"/>
  <c r="BA123" i="6"/>
  <c r="I124" i="6"/>
  <c r="J124" i="6"/>
  <c r="K124" i="6"/>
  <c r="L124" i="6"/>
  <c r="M124" i="6"/>
  <c r="N124" i="6"/>
  <c r="O124" i="6"/>
  <c r="P124" i="6"/>
  <c r="Q124" i="6"/>
  <c r="R124" i="6"/>
  <c r="S124" i="6"/>
  <c r="T124" i="6"/>
  <c r="U124" i="6"/>
  <c r="V124" i="6"/>
  <c r="W124" i="6"/>
  <c r="X124" i="6"/>
  <c r="Y124" i="6"/>
  <c r="Z124" i="6"/>
  <c r="AA124" i="6"/>
  <c r="AB124" i="6"/>
  <c r="AC124" i="6"/>
  <c r="AD124" i="6"/>
  <c r="AE124" i="6"/>
  <c r="AF124" i="6"/>
  <c r="AG124" i="6"/>
  <c r="AH124" i="6"/>
  <c r="AI124" i="6"/>
  <c r="AJ124" i="6"/>
  <c r="AK124" i="6"/>
  <c r="AL124" i="6"/>
  <c r="AM124" i="6"/>
  <c r="AN124" i="6"/>
  <c r="AO124" i="6"/>
  <c r="AP124" i="6"/>
  <c r="AQ124" i="6"/>
  <c r="AR124" i="6"/>
  <c r="AS124" i="6"/>
  <c r="AT124" i="6"/>
  <c r="AU124" i="6"/>
  <c r="AV124" i="6"/>
  <c r="AW124" i="6"/>
  <c r="AX124" i="6"/>
  <c r="AY124" i="6"/>
  <c r="AZ124" i="6"/>
  <c r="BA124" i="6"/>
  <c r="I125" i="6"/>
  <c r="J125" i="6"/>
  <c r="K125" i="6"/>
  <c r="L125" i="6"/>
  <c r="M125" i="6"/>
  <c r="N125" i="6"/>
  <c r="O125" i="6"/>
  <c r="P125" i="6"/>
  <c r="Q125" i="6"/>
  <c r="R125" i="6"/>
  <c r="S125" i="6"/>
  <c r="T125" i="6"/>
  <c r="U125" i="6"/>
  <c r="V125" i="6"/>
  <c r="W125" i="6"/>
  <c r="X125" i="6"/>
  <c r="Y125" i="6"/>
  <c r="Z125" i="6"/>
  <c r="AA125" i="6"/>
  <c r="AB125" i="6"/>
  <c r="AC125" i="6"/>
  <c r="AD125" i="6"/>
  <c r="AE125" i="6"/>
  <c r="AF125" i="6"/>
  <c r="AG125" i="6"/>
  <c r="AH125" i="6"/>
  <c r="AI125" i="6"/>
  <c r="AJ125" i="6"/>
  <c r="AK125" i="6"/>
  <c r="AL125" i="6"/>
  <c r="AM125" i="6"/>
  <c r="AN125" i="6"/>
  <c r="AO125" i="6"/>
  <c r="AP125" i="6"/>
  <c r="AQ125" i="6"/>
  <c r="AR125" i="6"/>
  <c r="AS125" i="6"/>
  <c r="AT125" i="6"/>
  <c r="AU125" i="6"/>
  <c r="AV125" i="6"/>
  <c r="AW125" i="6"/>
  <c r="AX125" i="6"/>
  <c r="AY125" i="6"/>
  <c r="AZ125" i="6"/>
  <c r="BA125" i="6"/>
  <c r="I126" i="6"/>
  <c r="J126" i="6"/>
  <c r="K126" i="6"/>
  <c r="L126" i="6"/>
  <c r="M126" i="6"/>
  <c r="N126" i="6"/>
  <c r="O126" i="6"/>
  <c r="P126" i="6"/>
  <c r="Q126" i="6"/>
  <c r="R126" i="6"/>
  <c r="S126" i="6"/>
  <c r="T126" i="6"/>
  <c r="U126" i="6"/>
  <c r="V126" i="6"/>
  <c r="W126" i="6"/>
  <c r="X126" i="6"/>
  <c r="Y126" i="6"/>
  <c r="Z126" i="6"/>
  <c r="AA126" i="6"/>
  <c r="AB126" i="6"/>
  <c r="AC126" i="6"/>
  <c r="AD126" i="6"/>
  <c r="AE126" i="6"/>
  <c r="AF126" i="6"/>
  <c r="AG126" i="6"/>
  <c r="AH126" i="6"/>
  <c r="AI126" i="6"/>
  <c r="AJ126" i="6"/>
  <c r="AK126" i="6"/>
  <c r="AL126" i="6"/>
  <c r="AM126" i="6"/>
  <c r="AN126" i="6"/>
  <c r="AO126" i="6"/>
  <c r="AP126" i="6"/>
  <c r="AQ126" i="6"/>
  <c r="AR126" i="6"/>
  <c r="AS126" i="6"/>
  <c r="AT126" i="6"/>
  <c r="AU126" i="6"/>
  <c r="AV126" i="6"/>
  <c r="AW126" i="6"/>
  <c r="AX126" i="6"/>
  <c r="AY126" i="6"/>
  <c r="AZ126" i="6"/>
  <c r="BA126" i="6"/>
  <c r="I127" i="6"/>
  <c r="J127" i="6"/>
  <c r="K127" i="6"/>
  <c r="L127" i="6"/>
  <c r="M127" i="6"/>
  <c r="N127" i="6"/>
  <c r="O127" i="6"/>
  <c r="P127" i="6"/>
  <c r="Q127" i="6"/>
  <c r="R127" i="6"/>
  <c r="S127" i="6"/>
  <c r="T127" i="6"/>
  <c r="U127" i="6"/>
  <c r="V127" i="6"/>
  <c r="W127" i="6"/>
  <c r="X127" i="6"/>
  <c r="Y127" i="6"/>
  <c r="Z127" i="6"/>
  <c r="AA127" i="6"/>
  <c r="AB127" i="6"/>
  <c r="AC127" i="6"/>
  <c r="AD127" i="6"/>
  <c r="AE127" i="6"/>
  <c r="AF127" i="6"/>
  <c r="AG127" i="6"/>
  <c r="AH127" i="6"/>
  <c r="AI127" i="6"/>
  <c r="AJ127" i="6"/>
  <c r="AK127" i="6"/>
  <c r="AL127" i="6"/>
  <c r="AM127" i="6"/>
  <c r="AN127" i="6"/>
  <c r="AO127" i="6"/>
  <c r="AP127" i="6"/>
  <c r="AQ127" i="6"/>
  <c r="AR127" i="6"/>
  <c r="AS127" i="6"/>
  <c r="AT127" i="6"/>
  <c r="AU127" i="6"/>
  <c r="AV127" i="6"/>
  <c r="AW127" i="6"/>
  <c r="AX127" i="6"/>
  <c r="AY127" i="6"/>
  <c r="AZ127" i="6"/>
  <c r="BA127" i="6"/>
  <c r="I128" i="6"/>
  <c r="J128" i="6"/>
  <c r="K128" i="6"/>
  <c r="L128" i="6"/>
  <c r="M128" i="6"/>
  <c r="N128" i="6"/>
  <c r="O128" i="6"/>
  <c r="P128" i="6"/>
  <c r="Q128" i="6"/>
  <c r="R128" i="6"/>
  <c r="S128" i="6"/>
  <c r="T128" i="6"/>
  <c r="U128" i="6"/>
  <c r="V128" i="6"/>
  <c r="W128" i="6"/>
  <c r="X128" i="6"/>
  <c r="Y128" i="6"/>
  <c r="Z128" i="6"/>
  <c r="AA128" i="6"/>
  <c r="AB128" i="6"/>
  <c r="AC128" i="6"/>
  <c r="AD128" i="6"/>
  <c r="AE128" i="6"/>
  <c r="AF128" i="6"/>
  <c r="AG128" i="6"/>
  <c r="AH128" i="6"/>
  <c r="AI128" i="6"/>
  <c r="AJ128" i="6"/>
  <c r="AK128" i="6"/>
  <c r="AL128" i="6"/>
  <c r="AM128" i="6"/>
  <c r="AN128" i="6"/>
  <c r="AO128" i="6"/>
  <c r="AP128" i="6"/>
  <c r="AQ128" i="6"/>
  <c r="AR128" i="6"/>
  <c r="AS128" i="6"/>
  <c r="AT128" i="6"/>
  <c r="AU128" i="6"/>
  <c r="AV128" i="6"/>
  <c r="AW128" i="6"/>
  <c r="AX128" i="6"/>
  <c r="AY128" i="6"/>
  <c r="AZ128" i="6"/>
  <c r="BA128" i="6"/>
  <c r="I129" i="6"/>
  <c r="J129" i="6"/>
  <c r="K129" i="6"/>
  <c r="L129" i="6"/>
  <c r="M129" i="6"/>
  <c r="N129" i="6"/>
  <c r="O129" i="6"/>
  <c r="P129" i="6"/>
  <c r="Q129" i="6"/>
  <c r="R129" i="6"/>
  <c r="S129" i="6"/>
  <c r="T129" i="6"/>
  <c r="U129" i="6"/>
  <c r="V129" i="6"/>
  <c r="W129" i="6"/>
  <c r="X129" i="6"/>
  <c r="Y129" i="6"/>
  <c r="Z129" i="6"/>
  <c r="AA129" i="6"/>
  <c r="AB129" i="6"/>
  <c r="AC129" i="6"/>
  <c r="AD129" i="6"/>
  <c r="AE129" i="6"/>
  <c r="AF129" i="6"/>
  <c r="AG129" i="6"/>
  <c r="AH129" i="6"/>
  <c r="AI129" i="6"/>
  <c r="AJ129" i="6"/>
  <c r="AK129" i="6"/>
  <c r="AL129" i="6"/>
  <c r="AM129" i="6"/>
  <c r="AN129" i="6"/>
  <c r="AO129" i="6"/>
  <c r="AP129" i="6"/>
  <c r="AQ129" i="6"/>
  <c r="AR129" i="6"/>
  <c r="AS129" i="6"/>
  <c r="AT129" i="6"/>
  <c r="AU129" i="6"/>
  <c r="AV129" i="6"/>
  <c r="AW129" i="6"/>
  <c r="AX129" i="6"/>
  <c r="AY129" i="6"/>
  <c r="AZ129" i="6"/>
  <c r="BA129" i="6"/>
  <c r="I130" i="6"/>
  <c r="J130" i="6"/>
  <c r="K130" i="6"/>
  <c r="L130" i="6"/>
  <c r="M130" i="6"/>
  <c r="N130" i="6"/>
  <c r="O130" i="6"/>
  <c r="P130" i="6"/>
  <c r="Q130" i="6"/>
  <c r="R130" i="6"/>
  <c r="S130" i="6"/>
  <c r="T130" i="6"/>
  <c r="U130" i="6"/>
  <c r="V130" i="6"/>
  <c r="W130" i="6"/>
  <c r="X130" i="6"/>
  <c r="Y130" i="6"/>
  <c r="Z130" i="6"/>
  <c r="AA130" i="6"/>
  <c r="AB130" i="6"/>
  <c r="AC130" i="6"/>
  <c r="AD130" i="6"/>
  <c r="AE130" i="6"/>
  <c r="AF130" i="6"/>
  <c r="AG130" i="6"/>
  <c r="AH130" i="6"/>
  <c r="AI130" i="6"/>
  <c r="AJ130" i="6"/>
  <c r="AK130" i="6"/>
  <c r="AL130" i="6"/>
  <c r="AM130" i="6"/>
  <c r="AN130" i="6"/>
  <c r="AO130" i="6"/>
  <c r="AP130" i="6"/>
  <c r="AQ130" i="6"/>
  <c r="AR130" i="6"/>
  <c r="AS130" i="6"/>
  <c r="AT130" i="6"/>
  <c r="AU130" i="6"/>
  <c r="AV130" i="6"/>
  <c r="AW130" i="6"/>
  <c r="AX130" i="6"/>
  <c r="AY130" i="6"/>
  <c r="AZ130" i="6"/>
  <c r="BA130" i="6"/>
  <c r="I131" i="6"/>
  <c r="J131" i="6"/>
  <c r="K131" i="6"/>
  <c r="L131" i="6"/>
  <c r="M131" i="6"/>
  <c r="N131" i="6"/>
  <c r="O131" i="6"/>
  <c r="P131" i="6"/>
  <c r="Q131" i="6"/>
  <c r="R131" i="6"/>
  <c r="S131" i="6"/>
  <c r="T131" i="6"/>
  <c r="U131" i="6"/>
  <c r="V131" i="6"/>
  <c r="W131" i="6"/>
  <c r="X131" i="6"/>
  <c r="Y131" i="6"/>
  <c r="Z131" i="6"/>
  <c r="AA131" i="6"/>
  <c r="AB131" i="6"/>
  <c r="AC131" i="6"/>
  <c r="AD131" i="6"/>
  <c r="AE131" i="6"/>
  <c r="AF131" i="6"/>
  <c r="AG131" i="6"/>
  <c r="AH131" i="6"/>
  <c r="AI131" i="6"/>
  <c r="AJ131" i="6"/>
  <c r="AK131" i="6"/>
  <c r="AL131" i="6"/>
  <c r="AM131" i="6"/>
  <c r="AN131" i="6"/>
  <c r="AO131" i="6"/>
  <c r="AP131" i="6"/>
  <c r="AQ131" i="6"/>
  <c r="AR131" i="6"/>
  <c r="AS131" i="6"/>
  <c r="AT131" i="6"/>
  <c r="AU131" i="6"/>
  <c r="AV131" i="6"/>
  <c r="AW131" i="6"/>
  <c r="AX131" i="6"/>
  <c r="AY131" i="6"/>
  <c r="AZ131" i="6"/>
  <c r="BA131" i="6"/>
  <c r="I132" i="6"/>
  <c r="J132" i="6"/>
  <c r="K132" i="6"/>
  <c r="L132" i="6"/>
  <c r="M132" i="6"/>
  <c r="N132" i="6"/>
  <c r="O132" i="6"/>
  <c r="P132" i="6"/>
  <c r="Q132" i="6"/>
  <c r="R132" i="6"/>
  <c r="S132" i="6"/>
  <c r="T132" i="6"/>
  <c r="U132" i="6"/>
  <c r="V132" i="6"/>
  <c r="W132" i="6"/>
  <c r="X132" i="6"/>
  <c r="Y132" i="6"/>
  <c r="Z132" i="6"/>
  <c r="AA132" i="6"/>
  <c r="AB132" i="6"/>
  <c r="AC132" i="6"/>
  <c r="AD132" i="6"/>
  <c r="AE132" i="6"/>
  <c r="AF132" i="6"/>
  <c r="AG132" i="6"/>
  <c r="AH132" i="6"/>
  <c r="AI132" i="6"/>
  <c r="AJ132" i="6"/>
  <c r="AK132" i="6"/>
  <c r="AL132" i="6"/>
  <c r="AM132" i="6"/>
  <c r="AN132" i="6"/>
  <c r="AO132" i="6"/>
  <c r="AP132" i="6"/>
  <c r="AQ132" i="6"/>
  <c r="AR132" i="6"/>
  <c r="AS132" i="6"/>
  <c r="AT132" i="6"/>
  <c r="AU132" i="6"/>
  <c r="AV132" i="6"/>
  <c r="AW132" i="6"/>
  <c r="AX132" i="6"/>
  <c r="AY132" i="6"/>
  <c r="AZ132" i="6"/>
  <c r="BA132" i="6"/>
  <c r="I133" i="6"/>
  <c r="J133" i="6"/>
  <c r="K133" i="6"/>
  <c r="L133" i="6"/>
  <c r="M133" i="6"/>
  <c r="N133" i="6"/>
  <c r="O133" i="6"/>
  <c r="P133" i="6"/>
  <c r="Q133" i="6"/>
  <c r="R133" i="6"/>
  <c r="S133" i="6"/>
  <c r="T133" i="6"/>
  <c r="U133" i="6"/>
  <c r="V133" i="6"/>
  <c r="W133" i="6"/>
  <c r="X133" i="6"/>
  <c r="Y133" i="6"/>
  <c r="Z133" i="6"/>
  <c r="AA133" i="6"/>
  <c r="AB133" i="6"/>
  <c r="AC133" i="6"/>
  <c r="AD133" i="6"/>
  <c r="AE133" i="6"/>
  <c r="AF133" i="6"/>
  <c r="AG133" i="6"/>
  <c r="AH133" i="6"/>
  <c r="AI133" i="6"/>
  <c r="AJ133" i="6"/>
  <c r="AK133" i="6"/>
  <c r="AL133" i="6"/>
  <c r="AM133" i="6"/>
  <c r="AN133" i="6"/>
  <c r="AO133" i="6"/>
  <c r="AP133" i="6"/>
  <c r="AQ133" i="6"/>
  <c r="AR133" i="6"/>
  <c r="AS133" i="6"/>
  <c r="AT133" i="6"/>
  <c r="AU133" i="6"/>
  <c r="AV133" i="6"/>
  <c r="AW133" i="6"/>
  <c r="AX133" i="6"/>
  <c r="AY133" i="6"/>
  <c r="AZ133" i="6"/>
  <c r="BA133" i="6"/>
  <c r="I134" i="6"/>
  <c r="J134" i="6"/>
  <c r="K134" i="6"/>
  <c r="L134" i="6"/>
  <c r="M134" i="6"/>
  <c r="N134" i="6"/>
  <c r="O134" i="6"/>
  <c r="P134" i="6"/>
  <c r="Q134" i="6"/>
  <c r="R134" i="6"/>
  <c r="S134" i="6"/>
  <c r="T134" i="6"/>
  <c r="U134" i="6"/>
  <c r="V134" i="6"/>
  <c r="W134" i="6"/>
  <c r="X134" i="6"/>
  <c r="Y134" i="6"/>
  <c r="Z134" i="6"/>
  <c r="AA134" i="6"/>
  <c r="AB134" i="6"/>
  <c r="AC134" i="6"/>
  <c r="AD134" i="6"/>
  <c r="AE134" i="6"/>
  <c r="AF134" i="6"/>
  <c r="AG134" i="6"/>
  <c r="AH134" i="6"/>
  <c r="AI134" i="6"/>
  <c r="AJ134" i="6"/>
  <c r="AK134" i="6"/>
  <c r="AL134" i="6"/>
  <c r="AM134" i="6"/>
  <c r="AN134" i="6"/>
  <c r="AO134" i="6"/>
  <c r="AP134" i="6"/>
  <c r="AQ134" i="6"/>
  <c r="AR134" i="6"/>
  <c r="AS134" i="6"/>
  <c r="AT134" i="6"/>
  <c r="AU134" i="6"/>
  <c r="AV134" i="6"/>
  <c r="AW134" i="6"/>
  <c r="AX134" i="6"/>
  <c r="AY134" i="6"/>
  <c r="AZ134" i="6"/>
  <c r="BA134" i="6"/>
  <c r="I135" i="6"/>
  <c r="J135" i="6"/>
  <c r="K135" i="6"/>
  <c r="L135" i="6"/>
  <c r="M135" i="6"/>
  <c r="N135" i="6"/>
  <c r="O135" i="6"/>
  <c r="P135" i="6"/>
  <c r="Q135" i="6"/>
  <c r="R135" i="6"/>
  <c r="S135" i="6"/>
  <c r="T135" i="6"/>
  <c r="U135" i="6"/>
  <c r="V135" i="6"/>
  <c r="W135" i="6"/>
  <c r="X135" i="6"/>
  <c r="Y135" i="6"/>
  <c r="Z135" i="6"/>
  <c r="AA135" i="6"/>
  <c r="AB135" i="6"/>
  <c r="AC135" i="6"/>
  <c r="AD135" i="6"/>
  <c r="AE135" i="6"/>
  <c r="AF135" i="6"/>
  <c r="AG135" i="6"/>
  <c r="AH135" i="6"/>
  <c r="AI135" i="6"/>
  <c r="AJ135" i="6"/>
  <c r="AK135" i="6"/>
  <c r="AL135" i="6"/>
  <c r="AM135" i="6"/>
  <c r="AN135" i="6"/>
  <c r="AO135" i="6"/>
  <c r="AP135" i="6"/>
  <c r="AQ135" i="6"/>
  <c r="AR135" i="6"/>
  <c r="AS135" i="6"/>
  <c r="AT135" i="6"/>
  <c r="AU135" i="6"/>
  <c r="AV135" i="6"/>
  <c r="AW135" i="6"/>
  <c r="AX135" i="6"/>
  <c r="AY135" i="6"/>
  <c r="AZ135" i="6"/>
  <c r="BA135" i="6"/>
  <c r="I136" i="6"/>
  <c r="J136" i="6"/>
  <c r="K136" i="6"/>
  <c r="L136" i="6"/>
  <c r="M136" i="6"/>
  <c r="N136" i="6"/>
  <c r="O136" i="6"/>
  <c r="P136" i="6"/>
  <c r="Q136" i="6"/>
  <c r="R136" i="6"/>
  <c r="S136" i="6"/>
  <c r="T136" i="6"/>
  <c r="U136" i="6"/>
  <c r="V136" i="6"/>
  <c r="W136" i="6"/>
  <c r="X136" i="6"/>
  <c r="Y136" i="6"/>
  <c r="Z136" i="6"/>
  <c r="AA136" i="6"/>
  <c r="AB136" i="6"/>
  <c r="AC136" i="6"/>
  <c r="AD136" i="6"/>
  <c r="AE136" i="6"/>
  <c r="AF136" i="6"/>
  <c r="AG136" i="6"/>
  <c r="AH136" i="6"/>
  <c r="AI136" i="6"/>
  <c r="AJ136" i="6"/>
  <c r="AK136" i="6"/>
  <c r="AL136" i="6"/>
  <c r="AM136" i="6"/>
  <c r="AN136" i="6"/>
  <c r="AO136" i="6"/>
  <c r="AP136" i="6"/>
  <c r="AQ136" i="6"/>
  <c r="AR136" i="6"/>
  <c r="AS136" i="6"/>
  <c r="AT136" i="6"/>
  <c r="AU136" i="6"/>
  <c r="AV136" i="6"/>
  <c r="AW136" i="6"/>
  <c r="AX136" i="6"/>
  <c r="AY136" i="6"/>
  <c r="AZ136" i="6"/>
  <c r="BA136" i="6"/>
  <c r="I137" i="6"/>
  <c r="J137" i="6"/>
  <c r="K137" i="6"/>
  <c r="L137" i="6"/>
  <c r="M137" i="6"/>
  <c r="N137" i="6"/>
  <c r="O137" i="6"/>
  <c r="P137" i="6"/>
  <c r="Q137" i="6"/>
  <c r="R137" i="6"/>
  <c r="S137" i="6"/>
  <c r="T137" i="6"/>
  <c r="U137" i="6"/>
  <c r="V137" i="6"/>
  <c r="W137" i="6"/>
  <c r="X137" i="6"/>
  <c r="Y137" i="6"/>
  <c r="Z137" i="6"/>
  <c r="AA137" i="6"/>
  <c r="AB137" i="6"/>
  <c r="AC137" i="6"/>
  <c r="AD137" i="6"/>
  <c r="AE137" i="6"/>
  <c r="AF137" i="6"/>
  <c r="AG137" i="6"/>
  <c r="AH137" i="6"/>
  <c r="AI137" i="6"/>
  <c r="AJ137" i="6"/>
  <c r="AK137" i="6"/>
  <c r="AL137" i="6"/>
  <c r="AM137" i="6"/>
  <c r="AN137" i="6"/>
  <c r="AO137" i="6"/>
  <c r="AP137" i="6"/>
  <c r="AQ137" i="6"/>
  <c r="AR137" i="6"/>
  <c r="AS137" i="6"/>
  <c r="AT137" i="6"/>
  <c r="AU137" i="6"/>
  <c r="AV137" i="6"/>
  <c r="AW137" i="6"/>
  <c r="AX137" i="6"/>
  <c r="AY137" i="6"/>
  <c r="AZ137" i="6"/>
  <c r="BA137" i="6"/>
  <c r="I138" i="6"/>
  <c r="J138" i="6"/>
  <c r="K138" i="6"/>
  <c r="L138" i="6"/>
  <c r="M138" i="6"/>
  <c r="N138" i="6"/>
  <c r="O138" i="6"/>
  <c r="P138" i="6"/>
  <c r="Q138" i="6"/>
  <c r="R138" i="6"/>
  <c r="S138" i="6"/>
  <c r="T138" i="6"/>
  <c r="U138" i="6"/>
  <c r="V138" i="6"/>
  <c r="W138" i="6"/>
  <c r="X138" i="6"/>
  <c r="Y138" i="6"/>
  <c r="Z138" i="6"/>
  <c r="AA138" i="6"/>
  <c r="AB138" i="6"/>
  <c r="AC138" i="6"/>
  <c r="AD138" i="6"/>
  <c r="AE138" i="6"/>
  <c r="AF138" i="6"/>
  <c r="AG138" i="6"/>
  <c r="AH138" i="6"/>
  <c r="AI138" i="6"/>
  <c r="AJ138" i="6"/>
  <c r="AK138" i="6"/>
  <c r="AL138" i="6"/>
  <c r="AM138" i="6"/>
  <c r="AN138" i="6"/>
  <c r="AO138" i="6"/>
  <c r="AP138" i="6"/>
  <c r="AQ138" i="6"/>
  <c r="AR138" i="6"/>
  <c r="AS138" i="6"/>
  <c r="AT138" i="6"/>
  <c r="AU138" i="6"/>
  <c r="AV138" i="6"/>
  <c r="AW138" i="6"/>
  <c r="AX138" i="6"/>
  <c r="AY138" i="6"/>
  <c r="AZ138" i="6"/>
  <c r="BA138" i="6"/>
  <c r="I139" i="6"/>
  <c r="J139" i="6"/>
  <c r="K139" i="6"/>
  <c r="L139" i="6"/>
  <c r="M139" i="6"/>
  <c r="N139" i="6"/>
  <c r="O139" i="6"/>
  <c r="P139" i="6"/>
  <c r="Q139" i="6"/>
  <c r="R139" i="6"/>
  <c r="S139" i="6"/>
  <c r="T139" i="6"/>
  <c r="U139" i="6"/>
  <c r="V139" i="6"/>
  <c r="W139" i="6"/>
  <c r="X139" i="6"/>
  <c r="Y139" i="6"/>
  <c r="Z139" i="6"/>
  <c r="AA139" i="6"/>
  <c r="AB139" i="6"/>
  <c r="AC139" i="6"/>
  <c r="AD139" i="6"/>
  <c r="AE139" i="6"/>
  <c r="AF139" i="6"/>
  <c r="AG139" i="6"/>
  <c r="AH139" i="6"/>
  <c r="AI139" i="6"/>
  <c r="AJ139" i="6"/>
  <c r="AK139" i="6"/>
  <c r="AL139" i="6"/>
  <c r="AM139" i="6"/>
  <c r="AN139" i="6"/>
  <c r="AO139" i="6"/>
  <c r="AP139" i="6"/>
  <c r="AQ139" i="6"/>
  <c r="AR139" i="6"/>
  <c r="AS139" i="6"/>
  <c r="AT139" i="6"/>
  <c r="AU139" i="6"/>
  <c r="AV139" i="6"/>
  <c r="AW139" i="6"/>
  <c r="AX139" i="6"/>
  <c r="AY139" i="6"/>
  <c r="AZ139" i="6"/>
  <c r="BA139" i="6"/>
  <c r="I140" i="6"/>
  <c r="J140" i="6"/>
  <c r="K140" i="6"/>
  <c r="L140" i="6"/>
  <c r="M140" i="6"/>
  <c r="N140" i="6"/>
  <c r="O140" i="6"/>
  <c r="P140" i="6"/>
  <c r="Q140" i="6"/>
  <c r="R140" i="6"/>
  <c r="S140" i="6"/>
  <c r="T140" i="6"/>
  <c r="U140" i="6"/>
  <c r="V140" i="6"/>
  <c r="W140" i="6"/>
  <c r="X140" i="6"/>
  <c r="Y140" i="6"/>
  <c r="Z140" i="6"/>
  <c r="AA140" i="6"/>
  <c r="AB140" i="6"/>
  <c r="AC140" i="6"/>
  <c r="AD140" i="6"/>
  <c r="AE140" i="6"/>
  <c r="AF140" i="6"/>
  <c r="AG140" i="6"/>
  <c r="AH140" i="6"/>
  <c r="AI140" i="6"/>
  <c r="AJ140" i="6"/>
  <c r="AK140" i="6"/>
  <c r="AL140" i="6"/>
  <c r="AM140" i="6"/>
  <c r="AN140" i="6"/>
  <c r="AO140" i="6"/>
  <c r="AP140" i="6"/>
  <c r="AQ140" i="6"/>
  <c r="AR140" i="6"/>
  <c r="AS140" i="6"/>
  <c r="AT140" i="6"/>
  <c r="AU140" i="6"/>
  <c r="AV140" i="6"/>
  <c r="AW140" i="6"/>
  <c r="AX140" i="6"/>
  <c r="AY140" i="6"/>
  <c r="AZ140" i="6"/>
  <c r="BA140" i="6"/>
  <c r="I141" i="6"/>
  <c r="J141" i="6"/>
  <c r="K141" i="6"/>
  <c r="L141" i="6"/>
  <c r="M141" i="6"/>
  <c r="N141" i="6"/>
  <c r="O141" i="6"/>
  <c r="P141" i="6"/>
  <c r="Q141" i="6"/>
  <c r="R141" i="6"/>
  <c r="S141" i="6"/>
  <c r="T141" i="6"/>
  <c r="U141" i="6"/>
  <c r="V141" i="6"/>
  <c r="W141" i="6"/>
  <c r="X141" i="6"/>
  <c r="Y141" i="6"/>
  <c r="Z141" i="6"/>
  <c r="AA141" i="6"/>
  <c r="AB141" i="6"/>
  <c r="AC141" i="6"/>
  <c r="AD141" i="6"/>
  <c r="AE141" i="6"/>
  <c r="AF141" i="6"/>
  <c r="AG141" i="6"/>
  <c r="AH141" i="6"/>
  <c r="AI141" i="6"/>
  <c r="AJ141" i="6"/>
  <c r="AK141" i="6"/>
  <c r="AL141" i="6"/>
  <c r="AM141" i="6"/>
  <c r="AN141" i="6"/>
  <c r="AO141" i="6"/>
  <c r="AP141" i="6"/>
  <c r="AQ141" i="6"/>
  <c r="AR141" i="6"/>
  <c r="AS141" i="6"/>
  <c r="AT141" i="6"/>
  <c r="AU141" i="6"/>
  <c r="AV141" i="6"/>
  <c r="AW141" i="6"/>
  <c r="AX141" i="6"/>
  <c r="AY141" i="6"/>
  <c r="AZ141" i="6"/>
  <c r="BA141" i="6"/>
  <c r="I142" i="6"/>
  <c r="J142" i="6"/>
  <c r="K142" i="6"/>
  <c r="L142" i="6"/>
  <c r="M142" i="6"/>
  <c r="N142" i="6"/>
  <c r="O142" i="6"/>
  <c r="P142" i="6"/>
  <c r="Q142" i="6"/>
  <c r="R142" i="6"/>
  <c r="S142" i="6"/>
  <c r="T142" i="6"/>
  <c r="U142" i="6"/>
  <c r="V142" i="6"/>
  <c r="W142" i="6"/>
  <c r="X142" i="6"/>
  <c r="Y142" i="6"/>
  <c r="Z142" i="6"/>
  <c r="AA142" i="6"/>
  <c r="AB142" i="6"/>
  <c r="AC142" i="6"/>
  <c r="AD142" i="6"/>
  <c r="AE142" i="6"/>
  <c r="AF142" i="6"/>
  <c r="AG142" i="6"/>
  <c r="AH142" i="6"/>
  <c r="AI142" i="6"/>
  <c r="AJ142" i="6"/>
  <c r="AK142" i="6"/>
  <c r="AL142" i="6"/>
  <c r="AM142" i="6"/>
  <c r="AN142" i="6"/>
  <c r="AO142" i="6"/>
  <c r="AP142" i="6"/>
  <c r="AQ142" i="6"/>
  <c r="AR142" i="6"/>
  <c r="AS142" i="6"/>
  <c r="AT142" i="6"/>
  <c r="AU142" i="6"/>
  <c r="AV142" i="6"/>
  <c r="AW142" i="6"/>
  <c r="AX142" i="6"/>
  <c r="AY142" i="6"/>
  <c r="AZ142" i="6"/>
  <c r="BA142" i="6"/>
  <c r="I143" i="6"/>
  <c r="J143" i="6"/>
  <c r="K143" i="6"/>
  <c r="L143" i="6"/>
  <c r="M143" i="6"/>
  <c r="N143" i="6"/>
  <c r="O143" i="6"/>
  <c r="P143" i="6"/>
  <c r="Q143" i="6"/>
  <c r="R143" i="6"/>
  <c r="S143" i="6"/>
  <c r="T143" i="6"/>
  <c r="U143" i="6"/>
  <c r="V143" i="6"/>
  <c r="W143" i="6"/>
  <c r="X143" i="6"/>
  <c r="Y143" i="6"/>
  <c r="Z143" i="6"/>
  <c r="AA143" i="6"/>
  <c r="AB143" i="6"/>
  <c r="AC143" i="6"/>
  <c r="AD143" i="6"/>
  <c r="AE143" i="6"/>
  <c r="AF143" i="6"/>
  <c r="AG143" i="6"/>
  <c r="AH143" i="6"/>
  <c r="AI143" i="6"/>
  <c r="AJ143" i="6"/>
  <c r="AK143" i="6"/>
  <c r="AL143" i="6"/>
  <c r="AM143" i="6"/>
  <c r="AN143" i="6"/>
  <c r="AO143" i="6"/>
  <c r="AP143" i="6"/>
  <c r="AQ143" i="6"/>
  <c r="AR143" i="6"/>
  <c r="AS143" i="6"/>
  <c r="AT143" i="6"/>
  <c r="AU143" i="6"/>
  <c r="AV143" i="6"/>
  <c r="AW143" i="6"/>
  <c r="AX143" i="6"/>
  <c r="AY143" i="6"/>
  <c r="AZ143" i="6"/>
  <c r="BA143" i="6"/>
  <c r="I144" i="6"/>
  <c r="J144" i="6"/>
  <c r="K144" i="6"/>
  <c r="L144" i="6"/>
  <c r="M144" i="6"/>
  <c r="N144" i="6"/>
  <c r="O144" i="6"/>
  <c r="P144" i="6"/>
  <c r="Q144" i="6"/>
  <c r="R144" i="6"/>
  <c r="S144" i="6"/>
  <c r="T144" i="6"/>
  <c r="U144" i="6"/>
  <c r="V144" i="6"/>
  <c r="W144" i="6"/>
  <c r="X144" i="6"/>
  <c r="Y144" i="6"/>
  <c r="Z144" i="6"/>
  <c r="AA144" i="6"/>
  <c r="AB144" i="6"/>
  <c r="AC144" i="6"/>
  <c r="AD144" i="6"/>
  <c r="AE144" i="6"/>
  <c r="AF144" i="6"/>
  <c r="AG144" i="6"/>
  <c r="AH144" i="6"/>
  <c r="AI144" i="6"/>
  <c r="AJ144" i="6"/>
  <c r="AK144" i="6"/>
  <c r="AL144" i="6"/>
  <c r="AM144" i="6"/>
  <c r="AN144" i="6"/>
  <c r="AO144" i="6"/>
  <c r="AP144" i="6"/>
  <c r="AQ144" i="6"/>
  <c r="AR144" i="6"/>
  <c r="AS144" i="6"/>
  <c r="AT144" i="6"/>
  <c r="AU144" i="6"/>
  <c r="AV144" i="6"/>
  <c r="AW144" i="6"/>
  <c r="AX144" i="6"/>
  <c r="AY144" i="6"/>
  <c r="AZ144" i="6"/>
  <c r="BA144" i="6"/>
  <c r="I145" i="6"/>
  <c r="J145" i="6"/>
  <c r="K145" i="6"/>
  <c r="L145" i="6"/>
  <c r="M145" i="6"/>
  <c r="N145" i="6"/>
  <c r="O145" i="6"/>
  <c r="P145" i="6"/>
  <c r="Q145" i="6"/>
  <c r="R145" i="6"/>
  <c r="S145" i="6"/>
  <c r="T145" i="6"/>
  <c r="U145" i="6"/>
  <c r="V145" i="6"/>
  <c r="W145" i="6"/>
  <c r="X145" i="6"/>
  <c r="Y145" i="6"/>
  <c r="Z145" i="6"/>
  <c r="AA145" i="6"/>
  <c r="AB145" i="6"/>
  <c r="AC145" i="6"/>
  <c r="AD145" i="6"/>
  <c r="AE145" i="6"/>
  <c r="AF145" i="6"/>
  <c r="AG145" i="6"/>
  <c r="AH145" i="6"/>
  <c r="AI145" i="6"/>
  <c r="AJ145" i="6"/>
  <c r="AK145" i="6"/>
  <c r="AL145" i="6"/>
  <c r="AM145" i="6"/>
  <c r="AN145" i="6"/>
  <c r="AO145" i="6"/>
  <c r="AP145" i="6"/>
  <c r="AQ145" i="6"/>
  <c r="AR145" i="6"/>
  <c r="AS145" i="6"/>
  <c r="AT145" i="6"/>
  <c r="AU145" i="6"/>
  <c r="AV145" i="6"/>
  <c r="AW145" i="6"/>
  <c r="AX145" i="6"/>
  <c r="AY145" i="6"/>
  <c r="AZ145" i="6"/>
  <c r="BA145" i="6"/>
  <c r="I146" i="6"/>
  <c r="J146" i="6"/>
  <c r="K146" i="6"/>
  <c r="L146" i="6"/>
  <c r="M146" i="6"/>
  <c r="N146" i="6"/>
  <c r="O146" i="6"/>
  <c r="P146" i="6"/>
  <c r="Q146" i="6"/>
  <c r="R146" i="6"/>
  <c r="S146" i="6"/>
  <c r="T146" i="6"/>
  <c r="U146" i="6"/>
  <c r="V146" i="6"/>
  <c r="W146" i="6"/>
  <c r="X146" i="6"/>
  <c r="Y146" i="6"/>
  <c r="Z146" i="6"/>
  <c r="AA146" i="6"/>
  <c r="AB146" i="6"/>
  <c r="AC146" i="6"/>
  <c r="AD146" i="6"/>
  <c r="AE146" i="6"/>
  <c r="AF146" i="6"/>
  <c r="AG146" i="6"/>
  <c r="AH146" i="6"/>
  <c r="AI146" i="6"/>
  <c r="AJ146" i="6"/>
  <c r="AK146" i="6"/>
  <c r="AL146" i="6"/>
  <c r="AM146" i="6"/>
  <c r="AN146" i="6"/>
  <c r="AO146" i="6"/>
  <c r="AP146" i="6"/>
  <c r="AQ146" i="6"/>
  <c r="AR146" i="6"/>
  <c r="AS146" i="6"/>
  <c r="AT146" i="6"/>
  <c r="AU146" i="6"/>
  <c r="AV146" i="6"/>
  <c r="AW146" i="6"/>
  <c r="AX146" i="6"/>
  <c r="AY146" i="6"/>
  <c r="AZ146" i="6"/>
  <c r="BA146" i="6"/>
  <c r="I147" i="6"/>
  <c r="J147" i="6"/>
  <c r="K147" i="6"/>
  <c r="L147" i="6"/>
  <c r="M147" i="6"/>
  <c r="N147" i="6"/>
  <c r="O147" i="6"/>
  <c r="P147" i="6"/>
  <c r="Q147" i="6"/>
  <c r="R147" i="6"/>
  <c r="S147" i="6"/>
  <c r="T147" i="6"/>
  <c r="U147" i="6"/>
  <c r="V147" i="6"/>
  <c r="W147" i="6"/>
  <c r="X147" i="6"/>
  <c r="Y147" i="6"/>
  <c r="Z147" i="6"/>
  <c r="AA147" i="6"/>
  <c r="AB147" i="6"/>
  <c r="AC147" i="6"/>
  <c r="AD147" i="6"/>
  <c r="AE147" i="6"/>
  <c r="AF147" i="6"/>
  <c r="AG147" i="6"/>
  <c r="AH147" i="6"/>
  <c r="AI147" i="6"/>
  <c r="AJ147" i="6"/>
  <c r="AK147" i="6"/>
  <c r="AL147" i="6"/>
  <c r="AM147" i="6"/>
  <c r="AN147" i="6"/>
  <c r="AO147" i="6"/>
  <c r="AP147" i="6"/>
  <c r="AQ147" i="6"/>
  <c r="AR147" i="6"/>
  <c r="AS147" i="6"/>
  <c r="AT147" i="6"/>
  <c r="AU147" i="6"/>
  <c r="AV147" i="6"/>
  <c r="AW147" i="6"/>
  <c r="AX147" i="6"/>
  <c r="AY147" i="6"/>
  <c r="AZ147" i="6"/>
  <c r="BA147" i="6"/>
  <c r="I148" i="6"/>
  <c r="J148" i="6"/>
  <c r="K148" i="6"/>
  <c r="L148" i="6"/>
  <c r="M148" i="6"/>
  <c r="N148" i="6"/>
  <c r="O148" i="6"/>
  <c r="P148" i="6"/>
  <c r="Q148" i="6"/>
  <c r="R148" i="6"/>
  <c r="S148" i="6"/>
  <c r="T148" i="6"/>
  <c r="U148" i="6"/>
  <c r="V148" i="6"/>
  <c r="W148" i="6"/>
  <c r="X148" i="6"/>
  <c r="Y148" i="6"/>
  <c r="Z148" i="6"/>
  <c r="AA148" i="6"/>
  <c r="AB148" i="6"/>
  <c r="AC148" i="6"/>
  <c r="AD148" i="6"/>
  <c r="AE148" i="6"/>
  <c r="AF148" i="6"/>
  <c r="AG148" i="6"/>
  <c r="AH148" i="6"/>
  <c r="AI148" i="6"/>
  <c r="AJ148" i="6"/>
  <c r="AK148" i="6"/>
  <c r="AL148" i="6"/>
  <c r="AM148" i="6"/>
  <c r="AN148" i="6"/>
  <c r="AO148" i="6"/>
  <c r="AP148" i="6"/>
  <c r="AQ148" i="6"/>
  <c r="AR148" i="6"/>
  <c r="AS148" i="6"/>
  <c r="AT148" i="6"/>
  <c r="AU148" i="6"/>
  <c r="AV148" i="6"/>
  <c r="AW148" i="6"/>
  <c r="AX148" i="6"/>
  <c r="AY148" i="6"/>
  <c r="AZ148" i="6"/>
  <c r="BA148" i="6"/>
  <c r="I149" i="6"/>
  <c r="J149" i="6"/>
  <c r="K149" i="6"/>
  <c r="L149" i="6"/>
  <c r="M149" i="6"/>
  <c r="N149" i="6"/>
  <c r="O149" i="6"/>
  <c r="P149" i="6"/>
  <c r="Q149" i="6"/>
  <c r="R149" i="6"/>
  <c r="S149" i="6"/>
  <c r="T149" i="6"/>
  <c r="U149" i="6"/>
  <c r="V149" i="6"/>
  <c r="W149" i="6"/>
  <c r="X149" i="6"/>
  <c r="Y149" i="6"/>
  <c r="Z149" i="6"/>
  <c r="AA149" i="6"/>
  <c r="AB149" i="6"/>
  <c r="AC149" i="6"/>
  <c r="AD149" i="6"/>
  <c r="AE149" i="6"/>
  <c r="AF149" i="6"/>
  <c r="AG149" i="6"/>
  <c r="AH149" i="6"/>
  <c r="AI149" i="6"/>
  <c r="AJ149" i="6"/>
  <c r="AK149" i="6"/>
  <c r="AL149" i="6"/>
  <c r="AM149" i="6"/>
  <c r="AN149" i="6"/>
  <c r="AO149" i="6"/>
  <c r="AP149" i="6"/>
  <c r="AQ149" i="6"/>
  <c r="AR149" i="6"/>
  <c r="AS149" i="6"/>
  <c r="AT149" i="6"/>
  <c r="AU149" i="6"/>
  <c r="AV149" i="6"/>
  <c r="AW149" i="6"/>
  <c r="AX149" i="6"/>
  <c r="AY149" i="6"/>
  <c r="AZ149" i="6"/>
  <c r="BA149" i="6"/>
  <c r="I150" i="6"/>
  <c r="J150" i="6"/>
  <c r="K150" i="6"/>
  <c r="L150" i="6"/>
  <c r="M150" i="6"/>
  <c r="N150" i="6"/>
  <c r="O150" i="6"/>
  <c r="P150" i="6"/>
  <c r="Q150" i="6"/>
  <c r="R150" i="6"/>
  <c r="S150" i="6"/>
  <c r="T150" i="6"/>
  <c r="U150" i="6"/>
  <c r="V150" i="6"/>
  <c r="W150" i="6"/>
  <c r="X150" i="6"/>
  <c r="Y150" i="6"/>
  <c r="Z150" i="6"/>
  <c r="AA150" i="6"/>
  <c r="AB150" i="6"/>
  <c r="AC150" i="6"/>
  <c r="AD150" i="6"/>
  <c r="AE150" i="6"/>
  <c r="AF150" i="6"/>
  <c r="AG150" i="6"/>
  <c r="AH150" i="6"/>
  <c r="AI150" i="6"/>
  <c r="AJ150" i="6"/>
  <c r="AK150" i="6"/>
  <c r="AL150" i="6"/>
  <c r="AM150" i="6"/>
  <c r="AN150" i="6"/>
  <c r="AO150" i="6"/>
  <c r="AP150" i="6"/>
  <c r="AQ150" i="6"/>
  <c r="AR150" i="6"/>
  <c r="AS150" i="6"/>
  <c r="AT150" i="6"/>
  <c r="AU150" i="6"/>
  <c r="AV150" i="6"/>
  <c r="AW150" i="6"/>
  <c r="AX150" i="6"/>
  <c r="AY150" i="6"/>
  <c r="AZ150" i="6"/>
  <c r="BA150" i="6"/>
  <c r="I151" i="6"/>
  <c r="J151" i="6"/>
  <c r="K151" i="6"/>
  <c r="L151" i="6"/>
  <c r="M151" i="6"/>
  <c r="N151" i="6"/>
  <c r="O151" i="6"/>
  <c r="P151" i="6"/>
  <c r="Q151" i="6"/>
  <c r="R151" i="6"/>
  <c r="S151" i="6"/>
  <c r="T151" i="6"/>
  <c r="U151" i="6"/>
  <c r="V151" i="6"/>
  <c r="W151" i="6"/>
  <c r="X151" i="6"/>
  <c r="Y151" i="6"/>
  <c r="Z151" i="6"/>
  <c r="AA151" i="6"/>
  <c r="AB151" i="6"/>
  <c r="AC151" i="6"/>
  <c r="AD151" i="6"/>
  <c r="AE151" i="6"/>
  <c r="AF151" i="6"/>
  <c r="AG151" i="6"/>
  <c r="AH151" i="6"/>
  <c r="AI151" i="6"/>
  <c r="AJ151" i="6"/>
  <c r="AK151" i="6"/>
  <c r="AL151" i="6"/>
  <c r="AM151" i="6"/>
  <c r="AN151" i="6"/>
  <c r="AO151" i="6"/>
  <c r="AP151" i="6"/>
  <c r="AQ151" i="6"/>
  <c r="AR151" i="6"/>
  <c r="AS151" i="6"/>
  <c r="AT151" i="6"/>
  <c r="AU151" i="6"/>
  <c r="AV151" i="6"/>
  <c r="AW151" i="6"/>
  <c r="AX151" i="6"/>
  <c r="AY151" i="6"/>
  <c r="AZ151" i="6"/>
  <c r="BA151" i="6"/>
  <c r="I152" i="6"/>
  <c r="J152" i="6"/>
  <c r="K152" i="6"/>
  <c r="L152" i="6"/>
  <c r="M152" i="6"/>
  <c r="N152" i="6"/>
  <c r="O152" i="6"/>
  <c r="P152" i="6"/>
  <c r="Q152" i="6"/>
  <c r="R152" i="6"/>
  <c r="S152" i="6"/>
  <c r="T152" i="6"/>
  <c r="U152" i="6"/>
  <c r="V152" i="6"/>
  <c r="W152" i="6"/>
  <c r="X152" i="6"/>
  <c r="Y152" i="6"/>
  <c r="Z152" i="6"/>
  <c r="AA152" i="6"/>
  <c r="AB152" i="6"/>
  <c r="AC152" i="6"/>
  <c r="AD152" i="6"/>
  <c r="AE152" i="6"/>
  <c r="AF152" i="6"/>
  <c r="AG152" i="6"/>
  <c r="AH152" i="6"/>
  <c r="AI152" i="6"/>
  <c r="AJ152" i="6"/>
  <c r="AK152" i="6"/>
  <c r="AL152" i="6"/>
  <c r="AM152" i="6"/>
  <c r="AN152" i="6"/>
  <c r="AO152" i="6"/>
  <c r="AP152" i="6"/>
  <c r="AQ152" i="6"/>
  <c r="AR152" i="6"/>
  <c r="AS152" i="6"/>
  <c r="AT152" i="6"/>
  <c r="AU152" i="6"/>
  <c r="AV152" i="6"/>
  <c r="AW152" i="6"/>
  <c r="AX152" i="6"/>
  <c r="AY152" i="6"/>
  <c r="AZ152" i="6"/>
  <c r="BA152" i="6"/>
  <c r="I153" i="6"/>
  <c r="J153" i="6"/>
  <c r="K153" i="6"/>
  <c r="L153" i="6"/>
  <c r="M153" i="6"/>
  <c r="N153" i="6"/>
  <c r="O153" i="6"/>
  <c r="P153" i="6"/>
  <c r="Q153" i="6"/>
  <c r="R153" i="6"/>
  <c r="S153" i="6"/>
  <c r="T153" i="6"/>
  <c r="U153" i="6"/>
  <c r="V153" i="6"/>
  <c r="W153" i="6"/>
  <c r="X153" i="6"/>
  <c r="Y153" i="6"/>
  <c r="Z153" i="6"/>
  <c r="AA153" i="6"/>
  <c r="AB153" i="6"/>
  <c r="AC153" i="6"/>
  <c r="AD153" i="6"/>
  <c r="AE153" i="6"/>
  <c r="AF153" i="6"/>
  <c r="AG153" i="6"/>
  <c r="AH153" i="6"/>
  <c r="AI153" i="6"/>
  <c r="AJ153" i="6"/>
  <c r="AK153" i="6"/>
  <c r="AL153" i="6"/>
  <c r="AM153" i="6"/>
  <c r="AN153" i="6"/>
  <c r="AO153" i="6"/>
  <c r="AP153" i="6"/>
  <c r="AQ153" i="6"/>
  <c r="AR153" i="6"/>
  <c r="AS153" i="6"/>
  <c r="AT153" i="6"/>
  <c r="AU153" i="6"/>
  <c r="AV153" i="6"/>
  <c r="AW153" i="6"/>
  <c r="AX153" i="6"/>
  <c r="AY153" i="6"/>
  <c r="AZ153" i="6"/>
  <c r="BA153" i="6"/>
  <c r="I154" i="6"/>
  <c r="J154" i="6"/>
  <c r="K154" i="6"/>
  <c r="L154" i="6"/>
  <c r="M154" i="6"/>
  <c r="N154" i="6"/>
  <c r="O154" i="6"/>
  <c r="P154" i="6"/>
  <c r="Q154" i="6"/>
  <c r="R154" i="6"/>
  <c r="S154" i="6"/>
  <c r="T154" i="6"/>
  <c r="U154" i="6"/>
  <c r="V154" i="6"/>
  <c r="W154" i="6"/>
  <c r="X154" i="6"/>
  <c r="Y154" i="6"/>
  <c r="Z154" i="6"/>
  <c r="AA154" i="6"/>
  <c r="AB154" i="6"/>
  <c r="AC154" i="6"/>
  <c r="AD154" i="6"/>
  <c r="AE154" i="6"/>
  <c r="AF154" i="6"/>
  <c r="AG154" i="6"/>
  <c r="AH154" i="6"/>
  <c r="AI154" i="6"/>
  <c r="AJ154" i="6"/>
  <c r="AK154" i="6"/>
  <c r="AL154" i="6"/>
  <c r="AM154" i="6"/>
  <c r="AN154" i="6"/>
  <c r="AO154" i="6"/>
  <c r="AP154" i="6"/>
  <c r="AQ154" i="6"/>
  <c r="AR154" i="6"/>
  <c r="AS154" i="6"/>
  <c r="AT154" i="6"/>
  <c r="AU154" i="6"/>
  <c r="AV154" i="6"/>
  <c r="AW154" i="6"/>
  <c r="AX154" i="6"/>
  <c r="AY154" i="6"/>
  <c r="AZ154" i="6"/>
  <c r="BA154" i="6"/>
  <c r="I155" i="6"/>
  <c r="J155" i="6"/>
  <c r="K155" i="6"/>
  <c r="L155" i="6"/>
  <c r="M155" i="6"/>
  <c r="N155" i="6"/>
  <c r="O155" i="6"/>
  <c r="P155" i="6"/>
  <c r="Q155" i="6"/>
  <c r="R155" i="6"/>
  <c r="S155" i="6"/>
  <c r="T155" i="6"/>
  <c r="U155" i="6"/>
  <c r="V155" i="6"/>
  <c r="W155" i="6"/>
  <c r="X155" i="6"/>
  <c r="Y155" i="6"/>
  <c r="Z155" i="6"/>
  <c r="AA155" i="6"/>
  <c r="AB155" i="6"/>
  <c r="AC155" i="6"/>
  <c r="AD155" i="6"/>
  <c r="AE155" i="6"/>
  <c r="AF155" i="6"/>
  <c r="AG155" i="6"/>
  <c r="AH155" i="6"/>
  <c r="AI155" i="6"/>
  <c r="AJ155" i="6"/>
  <c r="AK155" i="6"/>
  <c r="AL155" i="6"/>
  <c r="AM155" i="6"/>
  <c r="AN155" i="6"/>
  <c r="AO155" i="6"/>
  <c r="AP155" i="6"/>
  <c r="AQ155" i="6"/>
  <c r="AR155" i="6"/>
  <c r="AS155" i="6"/>
  <c r="AT155" i="6"/>
  <c r="AU155" i="6"/>
  <c r="AV155" i="6"/>
  <c r="AW155" i="6"/>
  <c r="AX155" i="6"/>
  <c r="AY155" i="6"/>
  <c r="AZ155" i="6"/>
  <c r="BA155" i="6"/>
  <c r="I156" i="6"/>
  <c r="J156" i="6"/>
  <c r="K156" i="6"/>
  <c r="L156" i="6"/>
  <c r="M156" i="6"/>
  <c r="N156" i="6"/>
  <c r="O156" i="6"/>
  <c r="P156" i="6"/>
  <c r="Q156" i="6"/>
  <c r="R156" i="6"/>
  <c r="S156" i="6"/>
  <c r="T156" i="6"/>
  <c r="U156" i="6"/>
  <c r="V156" i="6"/>
  <c r="W156" i="6"/>
  <c r="X156" i="6"/>
  <c r="Y156" i="6"/>
  <c r="Z156" i="6"/>
  <c r="AA156" i="6"/>
  <c r="AB156" i="6"/>
  <c r="AC156" i="6"/>
  <c r="AD156" i="6"/>
  <c r="AE156" i="6"/>
  <c r="AF156" i="6"/>
  <c r="AG156" i="6"/>
  <c r="AH156" i="6"/>
  <c r="AI156" i="6"/>
  <c r="AJ156" i="6"/>
  <c r="AK156" i="6"/>
  <c r="AL156" i="6"/>
  <c r="AM156" i="6"/>
  <c r="AN156" i="6"/>
  <c r="AO156" i="6"/>
  <c r="AP156" i="6"/>
  <c r="AQ156" i="6"/>
  <c r="AR156" i="6"/>
  <c r="AS156" i="6"/>
  <c r="AT156" i="6"/>
  <c r="AU156" i="6"/>
  <c r="AV156" i="6"/>
  <c r="AW156" i="6"/>
  <c r="AX156" i="6"/>
  <c r="AY156" i="6"/>
  <c r="AZ156" i="6"/>
  <c r="BA156" i="6"/>
  <c r="I157" i="6"/>
  <c r="J157" i="6"/>
  <c r="K157" i="6"/>
  <c r="L157" i="6"/>
  <c r="M157" i="6"/>
  <c r="N157" i="6"/>
  <c r="O157" i="6"/>
  <c r="P157" i="6"/>
  <c r="Q157" i="6"/>
  <c r="R157" i="6"/>
  <c r="S157" i="6"/>
  <c r="T157" i="6"/>
  <c r="U157" i="6"/>
  <c r="V157" i="6"/>
  <c r="W157" i="6"/>
  <c r="X157" i="6"/>
  <c r="Y157" i="6"/>
  <c r="Z157" i="6"/>
  <c r="AA157" i="6"/>
  <c r="AB157" i="6"/>
  <c r="AC157" i="6"/>
  <c r="AD157" i="6"/>
  <c r="AE157" i="6"/>
  <c r="AF157" i="6"/>
  <c r="AG157" i="6"/>
  <c r="AH157" i="6"/>
  <c r="AI157" i="6"/>
  <c r="AJ157" i="6"/>
  <c r="AK157" i="6"/>
  <c r="AL157" i="6"/>
  <c r="AM157" i="6"/>
  <c r="AN157" i="6"/>
  <c r="AO157" i="6"/>
  <c r="AP157" i="6"/>
  <c r="AQ157" i="6"/>
  <c r="AR157" i="6"/>
  <c r="AS157" i="6"/>
  <c r="AT157" i="6"/>
  <c r="AU157" i="6"/>
  <c r="AV157" i="6"/>
  <c r="AW157" i="6"/>
  <c r="AX157" i="6"/>
  <c r="AY157" i="6"/>
  <c r="AZ157" i="6"/>
  <c r="BA157" i="6"/>
  <c r="I158" i="6"/>
  <c r="J158" i="6"/>
  <c r="K158" i="6"/>
  <c r="L158" i="6"/>
  <c r="M158" i="6"/>
  <c r="N158" i="6"/>
  <c r="O158" i="6"/>
  <c r="P158" i="6"/>
  <c r="Q158" i="6"/>
  <c r="R158" i="6"/>
  <c r="S158" i="6"/>
  <c r="T158" i="6"/>
  <c r="U158" i="6"/>
  <c r="V158" i="6"/>
  <c r="W158" i="6"/>
  <c r="X158" i="6"/>
  <c r="Y158" i="6"/>
  <c r="Z158" i="6"/>
  <c r="AA158" i="6"/>
  <c r="AB158" i="6"/>
  <c r="AC158" i="6"/>
  <c r="AD158" i="6"/>
  <c r="AE158" i="6"/>
  <c r="AF158" i="6"/>
  <c r="AG158" i="6"/>
  <c r="AH158" i="6"/>
  <c r="AI158" i="6"/>
  <c r="AJ158" i="6"/>
  <c r="AK158" i="6"/>
  <c r="AL158" i="6"/>
  <c r="AM158" i="6"/>
  <c r="AN158" i="6"/>
  <c r="AO158" i="6"/>
  <c r="AP158" i="6"/>
  <c r="AQ158" i="6"/>
  <c r="AR158" i="6"/>
  <c r="AS158" i="6"/>
  <c r="AT158" i="6"/>
  <c r="AU158" i="6"/>
  <c r="AV158" i="6"/>
  <c r="AW158" i="6"/>
  <c r="AX158" i="6"/>
  <c r="AY158" i="6"/>
  <c r="AZ158" i="6"/>
  <c r="BA158" i="6"/>
  <c r="I159" i="6"/>
  <c r="J159" i="6"/>
  <c r="K159" i="6"/>
  <c r="L159" i="6"/>
  <c r="M159" i="6"/>
  <c r="N159" i="6"/>
  <c r="O159" i="6"/>
  <c r="P159" i="6"/>
  <c r="Q159" i="6"/>
  <c r="R159" i="6"/>
  <c r="S159" i="6"/>
  <c r="T159" i="6"/>
  <c r="U159" i="6"/>
  <c r="V159" i="6"/>
  <c r="W159" i="6"/>
  <c r="X159" i="6"/>
  <c r="Y159" i="6"/>
  <c r="Z159" i="6"/>
  <c r="AA159" i="6"/>
  <c r="AB159" i="6"/>
  <c r="AC159" i="6"/>
  <c r="AD159" i="6"/>
  <c r="AE159" i="6"/>
  <c r="AF159" i="6"/>
  <c r="AG159" i="6"/>
  <c r="AH159" i="6"/>
  <c r="AI159" i="6"/>
  <c r="AJ159" i="6"/>
  <c r="AK159" i="6"/>
  <c r="AL159" i="6"/>
  <c r="AM159" i="6"/>
  <c r="AN159" i="6"/>
  <c r="AO159" i="6"/>
  <c r="AP159" i="6"/>
  <c r="AQ159" i="6"/>
  <c r="AR159" i="6"/>
  <c r="AS159" i="6"/>
  <c r="AT159" i="6"/>
  <c r="AU159" i="6"/>
  <c r="AV159" i="6"/>
  <c r="AW159" i="6"/>
  <c r="AX159" i="6"/>
  <c r="AY159" i="6"/>
  <c r="AZ159" i="6"/>
  <c r="BA159" i="6"/>
  <c r="I160" i="6"/>
  <c r="J160" i="6"/>
  <c r="K160" i="6"/>
  <c r="L160" i="6"/>
  <c r="M160" i="6"/>
  <c r="N160" i="6"/>
  <c r="O160" i="6"/>
  <c r="P160" i="6"/>
  <c r="Q160" i="6"/>
  <c r="R160" i="6"/>
  <c r="S160" i="6"/>
  <c r="T160" i="6"/>
  <c r="U160" i="6"/>
  <c r="V160" i="6"/>
  <c r="W160" i="6"/>
  <c r="X160" i="6"/>
  <c r="Y160" i="6"/>
  <c r="Z160" i="6"/>
  <c r="AA160" i="6"/>
  <c r="AB160" i="6"/>
  <c r="AC160" i="6"/>
  <c r="AD160" i="6"/>
  <c r="AE160" i="6"/>
  <c r="AF160" i="6"/>
  <c r="AG160" i="6"/>
  <c r="AH160" i="6"/>
  <c r="AI160" i="6"/>
  <c r="AJ160" i="6"/>
  <c r="AK160" i="6"/>
  <c r="AL160" i="6"/>
  <c r="AM160" i="6"/>
  <c r="AN160" i="6"/>
  <c r="AO160" i="6"/>
  <c r="AP160" i="6"/>
  <c r="AQ160" i="6"/>
  <c r="AR160" i="6"/>
  <c r="AS160" i="6"/>
  <c r="AT160" i="6"/>
  <c r="AU160" i="6"/>
  <c r="AV160" i="6"/>
  <c r="AW160" i="6"/>
  <c r="AX160" i="6"/>
  <c r="AY160" i="6"/>
  <c r="AZ160" i="6"/>
  <c r="BA160" i="6"/>
  <c r="I161" i="6"/>
  <c r="J161" i="6"/>
  <c r="K161" i="6"/>
  <c r="L161" i="6"/>
  <c r="M161" i="6"/>
  <c r="N161" i="6"/>
  <c r="O161" i="6"/>
  <c r="P161" i="6"/>
  <c r="Q161" i="6"/>
  <c r="R161" i="6"/>
  <c r="S161" i="6"/>
  <c r="T161" i="6"/>
  <c r="U161" i="6"/>
  <c r="V161" i="6"/>
  <c r="W161" i="6"/>
  <c r="X161" i="6"/>
  <c r="Y161" i="6"/>
  <c r="Z161" i="6"/>
  <c r="AA161" i="6"/>
  <c r="AB161" i="6"/>
  <c r="AC161" i="6"/>
  <c r="AD161" i="6"/>
  <c r="AE161" i="6"/>
  <c r="AF161" i="6"/>
  <c r="AG161" i="6"/>
  <c r="AH161" i="6"/>
  <c r="AI161" i="6"/>
  <c r="AJ161" i="6"/>
  <c r="AK161" i="6"/>
  <c r="AL161" i="6"/>
  <c r="AM161" i="6"/>
  <c r="AN161" i="6"/>
  <c r="AO161" i="6"/>
  <c r="AP161" i="6"/>
  <c r="AQ161" i="6"/>
  <c r="AR161" i="6"/>
  <c r="AS161" i="6"/>
  <c r="AT161" i="6"/>
  <c r="AU161" i="6"/>
  <c r="AV161" i="6"/>
  <c r="AW161" i="6"/>
  <c r="AX161" i="6"/>
  <c r="AY161" i="6"/>
  <c r="AZ161" i="6"/>
  <c r="BA161" i="6"/>
  <c r="I162" i="6"/>
  <c r="J162" i="6"/>
  <c r="K162" i="6"/>
  <c r="L162" i="6"/>
  <c r="M162" i="6"/>
  <c r="N162" i="6"/>
  <c r="O162" i="6"/>
  <c r="P162" i="6"/>
  <c r="Q162" i="6"/>
  <c r="R162" i="6"/>
  <c r="S162" i="6"/>
  <c r="T162" i="6"/>
  <c r="U162" i="6"/>
  <c r="V162" i="6"/>
  <c r="W162" i="6"/>
  <c r="X162" i="6"/>
  <c r="Y162" i="6"/>
  <c r="Z162" i="6"/>
  <c r="AA162" i="6"/>
  <c r="AB162" i="6"/>
  <c r="AC162" i="6"/>
  <c r="AD162" i="6"/>
  <c r="AE162" i="6"/>
  <c r="AF162" i="6"/>
  <c r="AG162" i="6"/>
  <c r="AH162" i="6"/>
  <c r="AI162" i="6"/>
  <c r="AJ162" i="6"/>
  <c r="AK162" i="6"/>
  <c r="AL162" i="6"/>
  <c r="AM162" i="6"/>
  <c r="AN162" i="6"/>
  <c r="AO162" i="6"/>
  <c r="AP162" i="6"/>
  <c r="AQ162" i="6"/>
  <c r="AR162" i="6"/>
  <c r="AS162" i="6"/>
  <c r="AT162" i="6"/>
  <c r="AU162" i="6"/>
  <c r="AV162" i="6"/>
  <c r="AW162" i="6"/>
  <c r="AX162" i="6"/>
  <c r="AY162" i="6"/>
  <c r="AZ162" i="6"/>
  <c r="BA162" i="6"/>
  <c r="I163" i="6"/>
  <c r="J163" i="6"/>
  <c r="K163" i="6"/>
  <c r="L163" i="6"/>
  <c r="M163" i="6"/>
  <c r="N163" i="6"/>
  <c r="O163" i="6"/>
  <c r="P163" i="6"/>
  <c r="Q163" i="6"/>
  <c r="R163" i="6"/>
  <c r="S163" i="6"/>
  <c r="T163" i="6"/>
  <c r="U163" i="6"/>
  <c r="V163" i="6"/>
  <c r="W163" i="6"/>
  <c r="X163" i="6"/>
  <c r="Y163" i="6"/>
  <c r="Z163" i="6"/>
  <c r="AA163" i="6"/>
  <c r="AB163" i="6"/>
  <c r="AC163" i="6"/>
  <c r="AD163" i="6"/>
  <c r="AE163" i="6"/>
  <c r="AF163" i="6"/>
  <c r="AG163" i="6"/>
  <c r="AH163" i="6"/>
  <c r="AI163" i="6"/>
  <c r="AJ163" i="6"/>
  <c r="AK163" i="6"/>
  <c r="AL163" i="6"/>
  <c r="AM163" i="6"/>
  <c r="AN163" i="6"/>
  <c r="AO163" i="6"/>
  <c r="AP163" i="6"/>
  <c r="AQ163" i="6"/>
  <c r="AR163" i="6"/>
  <c r="AS163" i="6"/>
  <c r="AT163" i="6"/>
  <c r="AU163" i="6"/>
  <c r="AV163" i="6"/>
  <c r="AW163" i="6"/>
  <c r="AX163" i="6"/>
  <c r="AY163" i="6"/>
  <c r="AZ163" i="6"/>
  <c r="BA163" i="6"/>
  <c r="I164" i="6"/>
  <c r="J164" i="6"/>
  <c r="K164" i="6"/>
  <c r="L164" i="6"/>
  <c r="M164" i="6"/>
  <c r="N164" i="6"/>
  <c r="O164" i="6"/>
  <c r="P164" i="6"/>
  <c r="Q164" i="6"/>
  <c r="R164" i="6"/>
  <c r="S164" i="6"/>
  <c r="T164" i="6"/>
  <c r="U164" i="6"/>
  <c r="V164" i="6"/>
  <c r="W164" i="6"/>
  <c r="X164" i="6"/>
  <c r="Y164" i="6"/>
  <c r="Z164" i="6"/>
  <c r="AA164" i="6"/>
  <c r="AB164" i="6"/>
  <c r="AC164" i="6"/>
  <c r="AD164" i="6"/>
  <c r="AE164" i="6"/>
  <c r="AF164" i="6"/>
  <c r="AG164" i="6"/>
  <c r="AH164" i="6"/>
  <c r="AI164" i="6"/>
  <c r="AJ164" i="6"/>
  <c r="AK164" i="6"/>
  <c r="AL164" i="6"/>
  <c r="AM164" i="6"/>
  <c r="AN164" i="6"/>
  <c r="AO164" i="6"/>
  <c r="AP164" i="6"/>
  <c r="AQ164" i="6"/>
  <c r="AR164" i="6"/>
  <c r="AS164" i="6"/>
  <c r="AT164" i="6"/>
  <c r="AU164" i="6"/>
  <c r="AV164" i="6"/>
  <c r="AW164" i="6"/>
  <c r="AX164" i="6"/>
  <c r="AY164" i="6"/>
  <c r="AZ164" i="6"/>
  <c r="BA164" i="6"/>
  <c r="I165" i="6"/>
  <c r="J165" i="6"/>
  <c r="K165" i="6"/>
  <c r="L165" i="6"/>
  <c r="M165" i="6"/>
  <c r="N165" i="6"/>
  <c r="O165" i="6"/>
  <c r="P165" i="6"/>
  <c r="Q165" i="6"/>
  <c r="R165" i="6"/>
  <c r="S165" i="6"/>
  <c r="T165" i="6"/>
  <c r="U165" i="6"/>
  <c r="V165" i="6"/>
  <c r="W165" i="6"/>
  <c r="X165" i="6"/>
  <c r="Y165" i="6"/>
  <c r="Z165" i="6"/>
  <c r="AA165" i="6"/>
  <c r="AB165" i="6"/>
  <c r="AC165" i="6"/>
  <c r="AD165" i="6"/>
  <c r="AE165" i="6"/>
  <c r="AF165" i="6"/>
  <c r="AG165" i="6"/>
  <c r="AH165" i="6"/>
  <c r="AI165" i="6"/>
  <c r="AJ165" i="6"/>
  <c r="AK165" i="6"/>
  <c r="AL165" i="6"/>
  <c r="AM165" i="6"/>
  <c r="AN165" i="6"/>
  <c r="AO165" i="6"/>
  <c r="AP165" i="6"/>
  <c r="AQ165" i="6"/>
  <c r="AR165" i="6"/>
  <c r="AS165" i="6"/>
  <c r="AT165" i="6"/>
  <c r="AU165" i="6"/>
  <c r="AV165" i="6"/>
  <c r="AW165" i="6"/>
  <c r="AX165" i="6"/>
  <c r="AY165" i="6"/>
  <c r="AZ165" i="6"/>
  <c r="BA165" i="6"/>
  <c r="I166" i="6"/>
  <c r="J166" i="6"/>
  <c r="K166" i="6"/>
  <c r="L166" i="6"/>
  <c r="M166" i="6"/>
  <c r="N166" i="6"/>
  <c r="O166" i="6"/>
  <c r="P166" i="6"/>
  <c r="Q166" i="6"/>
  <c r="R166" i="6"/>
  <c r="S166" i="6"/>
  <c r="T166" i="6"/>
  <c r="U166" i="6"/>
  <c r="V166" i="6"/>
  <c r="W166" i="6"/>
  <c r="X166" i="6"/>
  <c r="Y166" i="6"/>
  <c r="Z166" i="6"/>
  <c r="AA166" i="6"/>
  <c r="AB166" i="6"/>
  <c r="AC166" i="6"/>
  <c r="AD166" i="6"/>
  <c r="AE166" i="6"/>
  <c r="AF166" i="6"/>
  <c r="AG166" i="6"/>
  <c r="AH166" i="6"/>
  <c r="AI166" i="6"/>
  <c r="AJ166" i="6"/>
  <c r="AK166" i="6"/>
  <c r="AL166" i="6"/>
  <c r="AM166" i="6"/>
  <c r="AN166" i="6"/>
  <c r="AO166" i="6"/>
  <c r="AP166" i="6"/>
  <c r="AQ166" i="6"/>
  <c r="AR166" i="6"/>
  <c r="AS166" i="6"/>
  <c r="AT166" i="6"/>
  <c r="AU166" i="6"/>
  <c r="AV166" i="6"/>
  <c r="AW166" i="6"/>
  <c r="AX166" i="6"/>
  <c r="AY166" i="6"/>
  <c r="AZ166" i="6"/>
  <c r="BA166" i="6"/>
  <c r="I167" i="6"/>
  <c r="J167" i="6"/>
  <c r="K167" i="6"/>
  <c r="L167" i="6"/>
  <c r="M167" i="6"/>
  <c r="N167" i="6"/>
  <c r="O167" i="6"/>
  <c r="P167" i="6"/>
  <c r="Q167" i="6"/>
  <c r="R167" i="6"/>
  <c r="S167" i="6"/>
  <c r="T167" i="6"/>
  <c r="U167" i="6"/>
  <c r="V167" i="6"/>
  <c r="W167" i="6"/>
  <c r="X167" i="6"/>
  <c r="Y167" i="6"/>
  <c r="Z167" i="6"/>
  <c r="AA167" i="6"/>
  <c r="AB167" i="6"/>
  <c r="AC167" i="6"/>
  <c r="AD167" i="6"/>
  <c r="AE167" i="6"/>
  <c r="AF167" i="6"/>
  <c r="AG167" i="6"/>
  <c r="AH167" i="6"/>
  <c r="AI167" i="6"/>
  <c r="AJ167" i="6"/>
  <c r="AK167" i="6"/>
  <c r="AL167" i="6"/>
  <c r="AM167" i="6"/>
  <c r="AN167" i="6"/>
  <c r="AO167" i="6"/>
  <c r="AP167" i="6"/>
  <c r="AQ167" i="6"/>
  <c r="AR167" i="6"/>
  <c r="AS167" i="6"/>
  <c r="AT167" i="6"/>
  <c r="AU167" i="6"/>
  <c r="AV167" i="6"/>
  <c r="AW167" i="6"/>
  <c r="AX167" i="6"/>
  <c r="AY167" i="6"/>
  <c r="AZ167" i="6"/>
  <c r="BA167" i="6"/>
  <c r="I168" i="6"/>
  <c r="J168" i="6"/>
  <c r="K168" i="6"/>
  <c r="L168" i="6"/>
  <c r="M168" i="6"/>
  <c r="N168" i="6"/>
  <c r="O168" i="6"/>
  <c r="P168" i="6"/>
  <c r="Q168" i="6"/>
  <c r="R168" i="6"/>
  <c r="S168" i="6"/>
  <c r="T168" i="6"/>
  <c r="U168" i="6"/>
  <c r="V168" i="6"/>
  <c r="W168" i="6"/>
  <c r="X168" i="6"/>
  <c r="Y168" i="6"/>
  <c r="Z168" i="6"/>
  <c r="AA168" i="6"/>
  <c r="AB168" i="6"/>
  <c r="AC168" i="6"/>
  <c r="AD168" i="6"/>
  <c r="AE168" i="6"/>
  <c r="AF168" i="6"/>
  <c r="AG168" i="6"/>
  <c r="AH168" i="6"/>
  <c r="AI168" i="6"/>
  <c r="AJ168" i="6"/>
  <c r="AK168" i="6"/>
  <c r="AL168" i="6"/>
  <c r="AM168" i="6"/>
  <c r="AN168" i="6"/>
  <c r="AO168" i="6"/>
  <c r="AP168" i="6"/>
  <c r="AQ168" i="6"/>
  <c r="AR168" i="6"/>
  <c r="AS168" i="6"/>
  <c r="AT168" i="6"/>
  <c r="AU168" i="6"/>
  <c r="AV168" i="6"/>
  <c r="AW168" i="6"/>
  <c r="AX168" i="6"/>
  <c r="AY168" i="6"/>
  <c r="AZ168" i="6"/>
  <c r="BA168" i="6"/>
  <c r="I169" i="6"/>
  <c r="J169" i="6"/>
  <c r="K169" i="6"/>
  <c r="L169" i="6"/>
  <c r="M169" i="6"/>
  <c r="N169" i="6"/>
  <c r="O169" i="6"/>
  <c r="P169" i="6"/>
  <c r="Q169" i="6"/>
  <c r="R169" i="6"/>
  <c r="S169" i="6"/>
  <c r="T169" i="6"/>
  <c r="U169" i="6"/>
  <c r="V169" i="6"/>
  <c r="W169" i="6"/>
  <c r="X169" i="6"/>
  <c r="Y169" i="6"/>
  <c r="Z169" i="6"/>
  <c r="AA169" i="6"/>
  <c r="AB169" i="6"/>
  <c r="AC169" i="6"/>
  <c r="AD169" i="6"/>
  <c r="AE169" i="6"/>
  <c r="AF169" i="6"/>
  <c r="AG169" i="6"/>
  <c r="AH169" i="6"/>
  <c r="AI169" i="6"/>
  <c r="AJ169" i="6"/>
  <c r="AK169" i="6"/>
  <c r="AL169" i="6"/>
  <c r="AM169" i="6"/>
  <c r="AN169" i="6"/>
  <c r="AO169" i="6"/>
  <c r="AP169" i="6"/>
  <c r="AQ169" i="6"/>
  <c r="AR169" i="6"/>
  <c r="AS169" i="6"/>
  <c r="AT169" i="6"/>
  <c r="AU169" i="6"/>
  <c r="AV169" i="6"/>
  <c r="AW169" i="6"/>
  <c r="AX169" i="6"/>
  <c r="AY169" i="6"/>
  <c r="AZ169" i="6"/>
  <c r="BA169" i="6"/>
  <c r="I170" i="6"/>
  <c r="J170" i="6"/>
  <c r="K170" i="6"/>
  <c r="L170" i="6"/>
  <c r="M170" i="6"/>
  <c r="N170" i="6"/>
  <c r="O170" i="6"/>
  <c r="P170" i="6"/>
  <c r="Q170" i="6"/>
  <c r="R170" i="6"/>
  <c r="S170" i="6"/>
  <c r="T170" i="6"/>
  <c r="U170" i="6"/>
  <c r="V170" i="6"/>
  <c r="W170" i="6"/>
  <c r="X170" i="6"/>
  <c r="Y170" i="6"/>
  <c r="Z170" i="6"/>
  <c r="AA170" i="6"/>
  <c r="AB170" i="6"/>
  <c r="AC170" i="6"/>
  <c r="AD170" i="6"/>
  <c r="AE170" i="6"/>
  <c r="AF170" i="6"/>
  <c r="AG170" i="6"/>
  <c r="AH170" i="6"/>
  <c r="AI170" i="6"/>
  <c r="AJ170" i="6"/>
  <c r="AK170" i="6"/>
  <c r="AL170" i="6"/>
  <c r="AM170" i="6"/>
  <c r="AN170" i="6"/>
  <c r="AO170" i="6"/>
  <c r="AP170" i="6"/>
  <c r="AQ170" i="6"/>
  <c r="AR170" i="6"/>
  <c r="AS170" i="6"/>
  <c r="AT170" i="6"/>
  <c r="AU170" i="6"/>
  <c r="AV170" i="6"/>
  <c r="AW170" i="6"/>
  <c r="AX170" i="6"/>
  <c r="AY170" i="6"/>
  <c r="AZ170" i="6"/>
  <c r="BA170" i="6"/>
  <c r="I171" i="6"/>
  <c r="J171" i="6"/>
  <c r="K171" i="6"/>
  <c r="L171" i="6"/>
  <c r="M171" i="6"/>
  <c r="N171" i="6"/>
  <c r="O171" i="6"/>
  <c r="P171" i="6"/>
  <c r="Q171" i="6"/>
  <c r="R171" i="6"/>
  <c r="S171" i="6"/>
  <c r="T171" i="6"/>
  <c r="U171" i="6"/>
  <c r="V171" i="6"/>
  <c r="W171" i="6"/>
  <c r="X171" i="6"/>
  <c r="Y171" i="6"/>
  <c r="Z171" i="6"/>
  <c r="AA171" i="6"/>
  <c r="AB171" i="6"/>
  <c r="AC171" i="6"/>
  <c r="AD171" i="6"/>
  <c r="AE171" i="6"/>
  <c r="AF171" i="6"/>
  <c r="AG171" i="6"/>
  <c r="AH171" i="6"/>
  <c r="AI171" i="6"/>
  <c r="AJ171" i="6"/>
  <c r="AK171" i="6"/>
  <c r="AL171" i="6"/>
  <c r="AM171" i="6"/>
  <c r="AN171" i="6"/>
  <c r="AO171" i="6"/>
  <c r="AP171" i="6"/>
  <c r="AQ171" i="6"/>
  <c r="AR171" i="6"/>
  <c r="AS171" i="6"/>
  <c r="AT171" i="6"/>
  <c r="AU171" i="6"/>
  <c r="AV171" i="6"/>
  <c r="AW171" i="6"/>
  <c r="AX171" i="6"/>
  <c r="AY171" i="6"/>
  <c r="AZ171" i="6"/>
  <c r="BA171" i="6"/>
  <c r="I172" i="6"/>
  <c r="J172" i="6"/>
  <c r="K172" i="6"/>
  <c r="L172" i="6"/>
  <c r="M172" i="6"/>
  <c r="N172" i="6"/>
  <c r="O172" i="6"/>
  <c r="P172" i="6"/>
  <c r="Q172" i="6"/>
  <c r="R172" i="6"/>
  <c r="S172" i="6"/>
  <c r="T172" i="6"/>
  <c r="U172" i="6"/>
  <c r="V172" i="6"/>
  <c r="W172" i="6"/>
  <c r="X172" i="6"/>
  <c r="Y172" i="6"/>
  <c r="Z172" i="6"/>
  <c r="AA172" i="6"/>
  <c r="AB172" i="6"/>
  <c r="AC172" i="6"/>
  <c r="AD172" i="6"/>
  <c r="AE172" i="6"/>
  <c r="AF172" i="6"/>
  <c r="AG172" i="6"/>
  <c r="AH172" i="6"/>
  <c r="AI172" i="6"/>
  <c r="AJ172" i="6"/>
  <c r="AK172" i="6"/>
  <c r="AL172" i="6"/>
  <c r="AM172" i="6"/>
  <c r="AN172" i="6"/>
  <c r="AO172" i="6"/>
  <c r="AP172" i="6"/>
  <c r="AQ172" i="6"/>
  <c r="AR172" i="6"/>
  <c r="AS172" i="6"/>
  <c r="AT172" i="6"/>
  <c r="AU172" i="6"/>
  <c r="AV172" i="6"/>
  <c r="AW172" i="6"/>
  <c r="AX172" i="6"/>
  <c r="AY172" i="6"/>
  <c r="AZ172" i="6"/>
  <c r="BA172" i="6"/>
  <c r="I173" i="6"/>
  <c r="J173" i="6"/>
  <c r="K173" i="6"/>
  <c r="L173" i="6"/>
  <c r="M173" i="6"/>
  <c r="N173" i="6"/>
  <c r="O173" i="6"/>
  <c r="P173" i="6"/>
  <c r="Q173" i="6"/>
  <c r="R173" i="6"/>
  <c r="S173" i="6"/>
  <c r="T173" i="6"/>
  <c r="U173" i="6"/>
  <c r="V173" i="6"/>
  <c r="W173" i="6"/>
  <c r="X173" i="6"/>
  <c r="Y173" i="6"/>
  <c r="Z173" i="6"/>
  <c r="AA173" i="6"/>
  <c r="AB173" i="6"/>
  <c r="AC173" i="6"/>
  <c r="AD173" i="6"/>
  <c r="AE173" i="6"/>
  <c r="AF173" i="6"/>
  <c r="AG173" i="6"/>
  <c r="AH173" i="6"/>
  <c r="AI173" i="6"/>
  <c r="AJ173" i="6"/>
  <c r="AK173" i="6"/>
  <c r="AL173" i="6"/>
  <c r="AM173" i="6"/>
  <c r="AN173" i="6"/>
  <c r="AO173" i="6"/>
  <c r="AP173" i="6"/>
  <c r="AQ173" i="6"/>
  <c r="AR173" i="6"/>
  <c r="AS173" i="6"/>
  <c r="AT173" i="6"/>
  <c r="AU173" i="6"/>
  <c r="AV173" i="6"/>
  <c r="AW173" i="6"/>
  <c r="AX173" i="6"/>
  <c r="AY173" i="6"/>
  <c r="AZ173" i="6"/>
  <c r="BA173" i="6"/>
  <c r="I174" i="6"/>
  <c r="J174" i="6"/>
  <c r="K174" i="6"/>
  <c r="L174" i="6"/>
  <c r="M174" i="6"/>
  <c r="N174" i="6"/>
  <c r="O174" i="6"/>
  <c r="P174" i="6"/>
  <c r="Q174" i="6"/>
  <c r="R174" i="6"/>
  <c r="S174" i="6"/>
  <c r="T174" i="6"/>
  <c r="U174" i="6"/>
  <c r="V174" i="6"/>
  <c r="W174" i="6"/>
  <c r="X174" i="6"/>
  <c r="Y174" i="6"/>
  <c r="Z174" i="6"/>
  <c r="AA174" i="6"/>
  <c r="AB174" i="6"/>
  <c r="AC174" i="6"/>
  <c r="AD174" i="6"/>
  <c r="AE174" i="6"/>
  <c r="AF174" i="6"/>
  <c r="AG174" i="6"/>
  <c r="AH174" i="6"/>
  <c r="AI174" i="6"/>
  <c r="AJ174" i="6"/>
  <c r="AK174" i="6"/>
  <c r="AL174" i="6"/>
  <c r="AM174" i="6"/>
  <c r="AN174" i="6"/>
  <c r="AO174" i="6"/>
  <c r="AP174" i="6"/>
  <c r="AQ174" i="6"/>
  <c r="AR174" i="6"/>
  <c r="AS174" i="6"/>
  <c r="AT174" i="6"/>
  <c r="AU174" i="6"/>
  <c r="AV174" i="6"/>
  <c r="AW174" i="6"/>
  <c r="AX174" i="6"/>
  <c r="AY174" i="6"/>
  <c r="AZ174" i="6"/>
  <c r="BA174" i="6"/>
  <c r="I175" i="6"/>
  <c r="J175" i="6"/>
  <c r="K175" i="6"/>
  <c r="L175" i="6"/>
  <c r="M175" i="6"/>
  <c r="N175" i="6"/>
  <c r="O175" i="6"/>
  <c r="P175" i="6"/>
  <c r="Q175" i="6"/>
  <c r="R175" i="6"/>
  <c r="S175" i="6"/>
  <c r="T175" i="6"/>
  <c r="U175" i="6"/>
  <c r="V175" i="6"/>
  <c r="W175" i="6"/>
  <c r="X175" i="6"/>
  <c r="Y175" i="6"/>
  <c r="Z175" i="6"/>
  <c r="AA175" i="6"/>
  <c r="AB175" i="6"/>
  <c r="AC175" i="6"/>
  <c r="AD175" i="6"/>
  <c r="AE175" i="6"/>
  <c r="AF175" i="6"/>
  <c r="AG175" i="6"/>
  <c r="AH175" i="6"/>
  <c r="AI175" i="6"/>
  <c r="AJ175" i="6"/>
  <c r="AK175" i="6"/>
  <c r="AL175" i="6"/>
  <c r="AM175" i="6"/>
  <c r="AN175" i="6"/>
  <c r="AO175" i="6"/>
  <c r="AP175" i="6"/>
  <c r="AQ175" i="6"/>
  <c r="AR175" i="6"/>
  <c r="AS175" i="6"/>
  <c r="AT175" i="6"/>
  <c r="AU175" i="6"/>
  <c r="AV175" i="6"/>
  <c r="AW175" i="6"/>
  <c r="AX175" i="6"/>
  <c r="AY175" i="6"/>
  <c r="AZ175" i="6"/>
  <c r="BA175" i="6"/>
  <c r="I176" i="6"/>
  <c r="J176" i="6"/>
  <c r="K176" i="6"/>
  <c r="L176" i="6"/>
  <c r="M176" i="6"/>
  <c r="N176" i="6"/>
  <c r="O176" i="6"/>
  <c r="P176" i="6"/>
  <c r="Q176" i="6"/>
  <c r="R176" i="6"/>
  <c r="S176" i="6"/>
  <c r="T176" i="6"/>
  <c r="U176" i="6"/>
  <c r="V176" i="6"/>
  <c r="W176" i="6"/>
  <c r="X176" i="6"/>
  <c r="Y176" i="6"/>
  <c r="Z176" i="6"/>
  <c r="AA176" i="6"/>
  <c r="AB176" i="6"/>
  <c r="AC176" i="6"/>
  <c r="AD176" i="6"/>
  <c r="AE176" i="6"/>
  <c r="AF176" i="6"/>
  <c r="AG176" i="6"/>
  <c r="AH176" i="6"/>
  <c r="AI176" i="6"/>
  <c r="AJ176" i="6"/>
  <c r="AK176" i="6"/>
  <c r="AL176" i="6"/>
  <c r="AM176" i="6"/>
  <c r="AN176" i="6"/>
  <c r="AO176" i="6"/>
  <c r="AP176" i="6"/>
  <c r="AQ176" i="6"/>
  <c r="AR176" i="6"/>
  <c r="AS176" i="6"/>
  <c r="AT176" i="6"/>
  <c r="AU176" i="6"/>
  <c r="AV176" i="6"/>
  <c r="AW176" i="6"/>
  <c r="AX176" i="6"/>
  <c r="AY176" i="6"/>
  <c r="AZ176" i="6"/>
  <c r="BA176" i="6"/>
  <c r="I177" i="6"/>
  <c r="J177" i="6"/>
  <c r="K177" i="6"/>
  <c r="L177" i="6"/>
  <c r="M177" i="6"/>
  <c r="N177" i="6"/>
  <c r="O177" i="6"/>
  <c r="P177" i="6"/>
  <c r="Q177" i="6"/>
  <c r="R177" i="6"/>
  <c r="S177" i="6"/>
  <c r="T177" i="6"/>
  <c r="U177" i="6"/>
  <c r="V177" i="6"/>
  <c r="W177" i="6"/>
  <c r="X177" i="6"/>
  <c r="Y177" i="6"/>
  <c r="Z177" i="6"/>
  <c r="AA177" i="6"/>
  <c r="AB177" i="6"/>
  <c r="AC177" i="6"/>
  <c r="AD177" i="6"/>
  <c r="AE177" i="6"/>
  <c r="AF177" i="6"/>
  <c r="AG177" i="6"/>
  <c r="AH177" i="6"/>
  <c r="AI177" i="6"/>
  <c r="AJ177" i="6"/>
  <c r="AK177" i="6"/>
  <c r="AL177" i="6"/>
  <c r="AM177" i="6"/>
  <c r="AN177" i="6"/>
  <c r="AO177" i="6"/>
  <c r="AP177" i="6"/>
  <c r="AQ177" i="6"/>
  <c r="AR177" i="6"/>
  <c r="AS177" i="6"/>
  <c r="AT177" i="6"/>
  <c r="AU177" i="6"/>
  <c r="AV177" i="6"/>
  <c r="AW177" i="6"/>
  <c r="AX177" i="6"/>
  <c r="AY177" i="6"/>
  <c r="AZ177" i="6"/>
  <c r="BA177" i="6"/>
  <c r="I178" i="6"/>
  <c r="J178" i="6"/>
  <c r="K178" i="6"/>
  <c r="L178" i="6"/>
  <c r="M178" i="6"/>
  <c r="N178" i="6"/>
  <c r="O178" i="6"/>
  <c r="P178" i="6"/>
  <c r="Q178" i="6"/>
  <c r="R178" i="6"/>
  <c r="S178" i="6"/>
  <c r="T178" i="6"/>
  <c r="U178" i="6"/>
  <c r="V178" i="6"/>
  <c r="W178" i="6"/>
  <c r="X178" i="6"/>
  <c r="Y178" i="6"/>
  <c r="Z178" i="6"/>
  <c r="AA178" i="6"/>
  <c r="AB178" i="6"/>
  <c r="AC178" i="6"/>
  <c r="AD178" i="6"/>
  <c r="AE178" i="6"/>
  <c r="AF178" i="6"/>
  <c r="AG178" i="6"/>
  <c r="AH178" i="6"/>
  <c r="AI178" i="6"/>
  <c r="AJ178" i="6"/>
  <c r="AK178" i="6"/>
  <c r="AL178" i="6"/>
  <c r="AM178" i="6"/>
  <c r="AN178" i="6"/>
  <c r="AO178" i="6"/>
  <c r="AP178" i="6"/>
  <c r="AQ178" i="6"/>
  <c r="AR178" i="6"/>
  <c r="AS178" i="6"/>
  <c r="AT178" i="6"/>
  <c r="AU178" i="6"/>
  <c r="AV178" i="6"/>
  <c r="AW178" i="6"/>
  <c r="AX178" i="6"/>
  <c r="AY178" i="6"/>
  <c r="AZ178" i="6"/>
  <c r="BA178" i="6"/>
  <c r="I179" i="6"/>
  <c r="J179" i="6"/>
  <c r="K179" i="6"/>
  <c r="L179" i="6"/>
  <c r="M179" i="6"/>
  <c r="N179" i="6"/>
  <c r="O179" i="6"/>
  <c r="P179" i="6"/>
  <c r="Q179" i="6"/>
  <c r="R179" i="6"/>
  <c r="S179" i="6"/>
  <c r="T179" i="6"/>
  <c r="U179" i="6"/>
  <c r="V179" i="6"/>
  <c r="W179" i="6"/>
  <c r="X179" i="6"/>
  <c r="Y179" i="6"/>
  <c r="Z179" i="6"/>
  <c r="AA179" i="6"/>
  <c r="AB179" i="6"/>
  <c r="AC179" i="6"/>
  <c r="AD179" i="6"/>
  <c r="AE179" i="6"/>
  <c r="AF179" i="6"/>
  <c r="AG179" i="6"/>
  <c r="AH179" i="6"/>
  <c r="AI179" i="6"/>
  <c r="AJ179" i="6"/>
  <c r="AK179" i="6"/>
  <c r="AL179" i="6"/>
  <c r="AM179" i="6"/>
  <c r="AN179" i="6"/>
  <c r="AO179" i="6"/>
  <c r="AP179" i="6"/>
  <c r="AQ179" i="6"/>
  <c r="AR179" i="6"/>
  <c r="AS179" i="6"/>
  <c r="AT179" i="6"/>
  <c r="AU179" i="6"/>
  <c r="AV179" i="6"/>
  <c r="AW179" i="6"/>
  <c r="AX179" i="6"/>
  <c r="AY179" i="6"/>
  <c r="AZ179" i="6"/>
  <c r="BA179" i="6"/>
  <c r="I180" i="6"/>
  <c r="J180" i="6"/>
  <c r="K180" i="6"/>
  <c r="L180" i="6"/>
  <c r="M180" i="6"/>
  <c r="N180" i="6"/>
  <c r="O180" i="6"/>
  <c r="P180" i="6"/>
  <c r="Q180" i="6"/>
  <c r="R180" i="6"/>
  <c r="S180" i="6"/>
  <c r="T180" i="6"/>
  <c r="U180" i="6"/>
  <c r="V180" i="6"/>
  <c r="W180" i="6"/>
  <c r="X180" i="6"/>
  <c r="Y180" i="6"/>
  <c r="Z180" i="6"/>
  <c r="AA180" i="6"/>
  <c r="AB180" i="6"/>
  <c r="AC180" i="6"/>
  <c r="AD180" i="6"/>
  <c r="AE180" i="6"/>
  <c r="AF180" i="6"/>
  <c r="AG180" i="6"/>
  <c r="AH180" i="6"/>
  <c r="AI180" i="6"/>
  <c r="AJ180" i="6"/>
  <c r="AK180" i="6"/>
  <c r="AL180" i="6"/>
  <c r="AM180" i="6"/>
  <c r="AN180" i="6"/>
  <c r="AO180" i="6"/>
  <c r="AP180" i="6"/>
  <c r="AQ180" i="6"/>
  <c r="AR180" i="6"/>
  <c r="AS180" i="6"/>
  <c r="AT180" i="6"/>
  <c r="AU180" i="6"/>
  <c r="AV180" i="6"/>
  <c r="AW180" i="6"/>
  <c r="AX180" i="6"/>
  <c r="AY180" i="6"/>
  <c r="AZ180" i="6"/>
  <c r="BA180" i="6"/>
  <c r="I181" i="6"/>
  <c r="J181" i="6"/>
  <c r="K181" i="6"/>
  <c r="L181" i="6"/>
  <c r="M181" i="6"/>
  <c r="N181" i="6"/>
  <c r="O181" i="6"/>
  <c r="P181" i="6"/>
  <c r="Q181" i="6"/>
  <c r="R181" i="6"/>
  <c r="S181" i="6"/>
  <c r="T181" i="6"/>
  <c r="U181" i="6"/>
  <c r="V181" i="6"/>
  <c r="W181" i="6"/>
  <c r="X181" i="6"/>
  <c r="Y181" i="6"/>
  <c r="Z181" i="6"/>
  <c r="AA181" i="6"/>
  <c r="AB181" i="6"/>
  <c r="AC181" i="6"/>
  <c r="AD181" i="6"/>
  <c r="AE181" i="6"/>
  <c r="AF181" i="6"/>
  <c r="AG181" i="6"/>
  <c r="AH181" i="6"/>
  <c r="AI181" i="6"/>
  <c r="AJ181" i="6"/>
  <c r="AK181" i="6"/>
  <c r="AL181" i="6"/>
  <c r="AM181" i="6"/>
  <c r="AN181" i="6"/>
  <c r="AO181" i="6"/>
  <c r="AP181" i="6"/>
  <c r="AQ181" i="6"/>
  <c r="AR181" i="6"/>
  <c r="AS181" i="6"/>
  <c r="AT181" i="6"/>
  <c r="AU181" i="6"/>
  <c r="AV181" i="6"/>
  <c r="AW181" i="6"/>
  <c r="AX181" i="6"/>
  <c r="AY181" i="6"/>
  <c r="AZ181" i="6"/>
  <c r="BA181" i="6"/>
  <c r="I182" i="6"/>
  <c r="J182" i="6"/>
  <c r="K182" i="6"/>
  <c r="L182" i="6"/>
  <c r="M182" i="6"/>
  <c r="N182" i="6"/>
  <c r="O182" i="6"/>
  <c r="P182" i="6"/>
  <c r="Q182" i="6"/>
  <c r="R182" i="6"/>
  <c r="S182" i="6"/>
  <c r="T182" i="6"/>
  <c r="U182" i="6"/>
  <c r="V182" i="6"/>
  <c r="W182" i="6"/>
  <c r="X182" i="6"/>
  <c r="Y182" i="6"/>
  <c r="Z182" i="6"/>
  <c r="AA182" i="6"/>
  <c r="AB182" i="6"/>
  <c r="AC182" i="6"/>
  <c r="AD182" i="6"/>
  <c r="AE182" i="6"/>
  <c r="AF182" i="6"/>
  <c r="AG182" i="6"/>
  <c r="AH182" i="6"/>
  <c r="AI182" i="6"/>
  <c r="AJ182" i="6"/>
  <c r="AK182" i="6"/>
  <c r="AL182" i="6"/>
  <c r="AM182" i="6"/>
  <c r="AN182" i="6"/>
  <c r="AO182" i="6"/>
  <c r="AP182" i="6"/>
  <c r="AQ182" i="6"/>
  <c r="AR182" i="6"/>
  <c r="AS182" i="6"/>
  <c r="AT182" i="6"/>
  <c r="AU182" i="6"/>
  <c r="AV182" i="6"/>
  <c r="AW182" i="6"/>
  <c r="AX182" i="6"/>
  <c r="AY182" i="6"/>
  <c r="AZ182" i="6"/>
  <c r="BA182" i="6"/>
  <c r="I183" i="6"/>
  <c r="J183" i="6"/>
  <c r="K183" i="6"/>
  <c r="L183" i="6"/>
  <c r="M183" i="6"/>
  <c r="N183" i="6"/>
  <c r="O183" i="6"/>
  <c r="P183" i="6"/>
  <c r="Q183" i="6"/>
  <c r="R183" i="6"/>
  <c r="S183" i="6"/>
  <c r="T183" i="6"/>
  <c r="U183" i="6"/>
  <c r="V183" i="6"/>
  <c r="W183" i="6"/>
  <c r="X183" i="6"/>
  <c r="Y183" i="6"/>
  <c r="Z183" i="6"/>
  <c r="AA183" i="6"/>
  <c r="AB183" i="6"/>
  <c r="AC183" i="6"/>
  <c r="AD183" i="6"/>
  <c r="AE183" i="6"/>
  <c r="AF183" i="6"/>
  <c r="AG183" i="6"/>
  <c r="AH183" i="6"/>
  <c r="AI183" i="6"/>
  <c r="AJ183" i="6"/>
  <c r="AK183" i="6"/>
  <c r="AL183" i="6"/>
  <c r="AM183" i="6"/>
  <c r="AN183" i="6"/>
  <c r="AO183" i="6"/>
  <c r="AP183" i="6"/>
  <c r="AQ183" i="6"/>
  <c r="AR183" i="6"/>
  <c r="AS183" i="6"/>
  <c r="AT183" i="6"/>
  <c r="AU183" i="6"/>
  <c r="AV183" i="6"/>
  <c r="AW183" i="6"/>
  <c r="AX183" i="6"/>
  <c r="AY183" i="6"/>
  <c r="AZ183" i="6"/>
  <c r="BA183" i="6"/>
  <c r="I184" i="6"/>
  <c r="J184" i="6"/>
  <c r="K184" i="6"/>
  <c r="L184" i="6"/>
  <c r="M184" i="6"/>
  <c r="N184" i="6"/>
  <c r="O184" i="6"/>
  <c r="P184" i="6"/>
  <c r="Q184" i="6"/>
  <c r="R184" i="6"/>
  <c r="S184" i="6"/>
  <c r="T184" i="6"/>
  <c r="U184" i="6"/>
  <c r="V184" i="6"/>
  <c r="W184" i="6"/>
  <c r="X184" i="6"/>
  <c r="Y184" i="6"/>
  <c r="Z184" i="6"/>
  <c r="AA184" i="6"/>
  <c r="AB184" i="6"/>
  <c r="AC184" i="6"/>
  <c r="AD184" i="6"/>
  <c r="AE184" i="6"/>
  <c r="AF184" i="6"/>
  <c r="AG184" i="6"/>
  <c r="AH184" i="6"/>
  <c r="AI184" i="6"/>
  <c r="AJ184" i="6"/>
  <c r="AK184" i="6"/>
  <c r="AL184" i="6"/>
  <c r="AM184" i="6"/>
  <c r="AN184" i="6"/>
  <c r="AO184" i="6"/>
  <c r="AP184" i="6"/>
  <c r="AQ184" i="6"/>
  <c r="AR184" i="6"/>
  <c r="AS184" i="6"/>
  <c r="AT184" i="6"/>
  <c r="AU184" i="6"/>
  <c r="AV184" i="6"/>
  <c r="AW184" i="6"/>
  <c r="AX184" i="6"/>
  <c r="AY184" i="6"/>
  <c r="AZ184" i="6"/>
  <c r="BA184" i="6"/>
  <c r="I185" i="6"/>
  <c r="J185" i="6"/>
  <c r="K185" i="6"/>
  <c r="L185" i="6"/>
  <c r="M185" i="6"/>
  <c r="N185" i="6"/>
  <c r="O185" i="6"/>
  <c r="P185" i="6"/>
  <c r="Q185" i="6"/>
  <c r="R185" i="6"/>
  <c r="S185" i="6"/>
  <c r="T185" i="6"/>
  <c r="U185" i="6"/>
  <c r="V185" i="6"/>
  <c r="W185" i="6"/>
  <c r="X185" i="6"/>
  <c r="Y185" i="6"/>
  <c r="Z185" i="6"/>
  <c r="AA185" i="6"/>
  <c r="AB185" i="6"/>
  <c r="AC185" i="6"/>
  <c r="AD185" i="6"/>
  <c r="AE185" i="6"/>
  <c r="AF185" i="6"/>
  <c r="AG185" i="6"/>
  <c r="AH185" i="6"/>
  <c r="AI185" i="6"/>
  <c r="AJ185" i="6"/>
  <c r="AK185" i="6"/>
  <c r="AL185" i="6"/>
  <c r="AM185" i="6"/>
  <c r="AN185" i="6"/>
  <c r="AO185" i="6"/>
  <c r="AP185" i="6"/>
  <c r="AQ185" i="6"/>
  <c r="AR185" i="6"/>
  <c r="AS185" i="6"/>
  <c r="AT185" i="6"/>
  <c r="AU185" i="6"/>
  <c r="AV185" i="6"/>
  <c r="AW185" i="6"/>
  <c r="AX185" i="6"/>
  <c r="AY185" i="6"/>
  <c r="AZ185" i="6"/>
  <c r="BA185" i="6"/>
  <c r="I186" i="6"/>
  <c r="J186" i="6"/>
  <c r="K186" i="6"/>
  <c r="L186" i="6"/>
  <c r="M186" i="6"/>
  <c r="N186" i="6"/>
  <c r="O186" i="6"/>
  <c r="P186" i="6"/>
  <c r="Q186" i="6"/>
  <c r="R186" i="6"/>
  <c r="S186" i="6"/>
  <c r="T186" i="6"/>
  <c r="U186" i="6"/>
  <c r="V186" i="6"/>
  <c r="W186" i="6"/>
  <c r="X186" i="6"/>
  <c r="Y186" i="6"/>
  <c r="Z186" i="6"/>
  <c r="AA186" i="6"/>
  <c r="AB186" i="6"/>
  <c r="AC186" i="6"/>
  <c r="AD186" i="6"/>
  <c r="AE186" i="6"/>
  <c r="AF186" i="6"/>
  <c r="AG186" i="6"/>
  <c r="AH186" i="6"/>
  <c r="AI186" i="6"/>
  <c r="AJ186" i="6"/>
  <c r="AK186" i="6"/>
  <c r="AL186" i="6"/>
  <c r="AM186" i="6"/>
  <c r="AN186" i="6"/>
  <c r="AO186" i="6"/>
  <c r="AP186" i="6"/>
  <c r="AQ186" i="6"/>
  <c r="AR186" i="6"/>
  <c r="AS186" i="6"/>
  <c r="AT186" i="6"/>
  <c r="AU186" i="6"/>
  <c r="AV186" i="6"/>
  <c r="AW186" i="6"/>
  <c r="AX186" i="6"/>
  <c r="AY186" i="6"/>
  <c r="AZ186" i="6"/>
  <c r="BA186" i="6"/>
  <c r="I187" i="6"/>
  <c r="J187" i="6"/>
  <c r="K187" i="6"/>
  <c r="L187" i="6"/>
  <c r="M187" i="6"/>
  <c r="N187" i="6"/>
  <c r="O187" i="6"/>
  <c r="P187" i="6"/>
  <c r="Q187" i="6"/>
  <c r="R187" i="6"/>
  <c r="S187" i="6"/>
  <c r="T187" i="6"/>
  <c r="U187" i="6"/>
  <c r="V187" i="6"/>
  <c r="W187" i="6"/>
  <c r="X187" i="6"/>
  <c r="Y187" i="6"/>
  <c r="Z187" i="6"/>
  <c r="AA187" i="6"/>
  <c r="AB187" i="6"/>
  <c r="AC187" i="6"/>
  <c r="AD187" i="6"/>
  <c r="AE187" i="6"/>
  <c r="AF187" i="6"/>
  <c r="AG187" i="6"/>
  <c r="AH187" i="6"/>
  <c r="AI187" i="6"/>
  <c r="AJ187" i="6"/>
  <c r="AK187" i="6"/>
  <c r="AL187" i="6"/>
  <c r="AM187" i="6"/>
  <c r="AN187" i="6"/>
  <c r="AO187" i="6"/>
  <c r="AP187" i="6"/>
  <c r="AQ187" i="6"/>
  <c r="AR187" i="6"/>
  <c r="AS187" i="6"/>
  <c r="AT187" i="6"/>
  <c r="AU187" i="6"/>
  <c r="AV187" i="6"/>
  <c r="AW187" i="6"/>
  <c r="AX187" i="6"/>
  <c r="AY187" i="6"/>
  <c r="AZ187" i="6"/>
  <c r="BA187" i="6"/>
  <c r="I188" i="6"/>
  <c r="J188" i="6"/>
  <c r="K188" i="6"/>
  <c r="L188" i="6"/>
  <c r="M188" i="6"/>
  <c r="N188" i="6"/>
  <c r="O188" i="6"/>
  <c r="P188" i="6"/>
  <c r="Q188" i="6"/>
  <c r="R188" i="6"/>
  <c r="S188" i="6"/>
  <c r="T188" i="6"/>
  <c r="U188" i="6"/>
  <c r="V188" i="6"/>
  <c r="W188" i="6"/>
  <c r="X188" i="6"/>
  <c r="Y188" i="6"/>
  <c r="Z188" i="6"/>
  <c r="AA188" i="6"/>
  <c r="AB188" i="6"/>
  <c r="AC188" i="6"/>
  <c r="AD188" i="6"/>
  <c r="AE188" i="6"/>
  <c r="AF188" i="6"/>
  <c r="AG188" i="6"/>
  <c r="AH188" i="6"/>
  <c r="AI188" i="6"/>
  <c r="AJ188" i="6"/>
  <c r="AK188" i="6"/>
  <c r="AL188" i="6"/>
  <c r="AM188" i="6"/>
  <c r="AN188" i="6"/>
  <c r="AO188" i="6"/>
  <c r="AP188" i="6"/>
  <c r="AQ188" i="6"/>
  <c r="AR188" i="6"/>
  <c r="AS188" i="6"/>
  <c r="AT188" i="6"/>
  <c r="AU188" i="6"/>
  <c r="AV188" i="6"/>
  <c r="AW188" i="6"/>
  <c r="AX188" i="6"/>
  <c r="AY188" i="6"/>
  <c r="AZ188" i="6"/>
  <c r="BA188" i="6"/>
  <c r="I189" i="6"/>
  <c r="J189" i="6"/>
  <c r="K189" i="6"/>
  <c r="L189" i="6"/>
  <c r="M189" i="6"/>
  <c r="N189" i="6"/>
  <c r="O189" i="6"/>
  <c r="P189" i="6"/>
  <c r="Q189" i="6"/>
  <c r="R189" i="6"/>
  <c r="S189" i="6"/>
  <c r="T189" i="6"/>
  <c r="U189" i="6"/>
  <c r="V189" i="6"/>
  <c r="W189" i="6"/>
  <c r="X189" i="6"/>
  <c r="Y189" i="6"/>
  <c r="Z189" i="6"/>
  <c r="AA189" i="6"/>
  <c r="AB189" i="6"/>
  <c r="AC189" i="6"/>
  <c r="AD189" i="6"/>
  <c r="AE189" i="6"/>
  <c r="AF189" i="6"/>
  <c r="AG189" i="6"/>
  <c r="AH189" i="6"/>
  <c r="AI189" i="6"/>
  <c r="AJ189" i="6"/>
  <c r="AK189" i="6"/>
  <c r="AL189" i="6"/>
  <c r="AM189" i="6"/>
  <c r="AN189" i="6"/>
  <c r="AO189" i="6"/>
  <c r="AP189" i="6"/>
  <c r="AQ189" i="6"/>
  <c r="AR189" i="6"/>
  <c r="AS189" i="6"/>
  <c r="AT189" i="6"/>
  <c r="AU189" i="6"/>
  <c r="AV189" i="6"/>
  <c r="AW189" i="6"/>
  <c r="AX189" i="6"/>
  <c r="AY189" i="6"/>
  <c r="AZ189" i="6"/>
  <c r="BA189" i="6"/>
  <c r="I190" i="6"/>
  <c r="J190" i="6"/>
  <c r="K190" i="6"/>
  <c r="L190" i="6"/>
  <c r="M190" i="6"/>
  <c r="N190" i="6"/>
  <c r="O190" i="6"/>
  <c r="P190" i="6"/>
  <c r="Q190" i="6"/>
  <c r="R190" i="6"/>
  <c r="S190" i="6"/>
  <c r="T190" i="6"/>
  <c r="U190" i="6"/>
  <c r="V190" i="6"/>
  <c r="W190" i="6"/>
  <c r="X190" i="6"/>
  <c r="Y190" i="6"/>
  <c r="Z190" i="6"/>
  <c r="AA190" i="6"/>
  <c r="AB190" i="6"/>
  <c r="AC190" i="6"/>
  <c r="AD190" i="6"/>
  <c r="AE190" i="6"/>
  <c r="AF190" i="6"/>
  <c r="AG190" i="6"/>
  <c r="AH190" i="6"/>
  <c r="AI190" i="6"/>
  <c r="AJ190" i="6"/>
  <c r="AK190" i="6"/>
  <c r="AL190" i="6"/>
  <c r="AM190" i="6"/>
  <c r="AN190" i="6"/>
  <c r="AO190" i="6"/>
  <c r="AP190" i="6"/>
  <c r="AQ190" i="6"/>
  <c r="AR190" i="6"/>
  <c r="AS190" i="6"/>
  <c r="AT190" i="6"/>
  <c r="AU190" i="6"/>
  <c r="AV190" i="6"/>
  <c r="AW190" i="6"/>
  <c r="AX190" i="6"/>
  <c r="AY190" i="6"/>
  <c r="AZ190" i="6"/>
  <c r="BA190" i="6"/>
  <c r="I191" i="6"/>
  <c r="J191" i="6"/>
  <c r="K191" i="6"/>
  <c r="L191" i="6"/>
  <c r="M191" i="6"/>
  <c r="N191" i="6"/>
  <c r="O191" i="6"/>
  <c r="P191" i="6"/>
  <c r="Q191" i="6"/>
  <c r="R191" i="6"/>
  <c r="S191" i="6"/>
  <c r="T191" i="6"/>
  <c r="U191" i="6"/>
  <c r="V191" i="6"/>
  <c r="W191" i="6"/>
  <c r="X191" i="6"/>
  <c r="Y191" i="6"/>
  <c r="Z191" i="6"/>
  <c r="AA191" i="6"/>
  <c r="AB191" i="6"/>
  <c r="AC191" i="6"/>
  <c r="AD191" i="6"/>
  <c r="AE191" i="6"/>
  <c r="AF191" i="6"/>
  <c r="AG191" i="6"/>
  <c r="AH191" i="6"/>
  <c r="AI191" i="6"/>
  <c r="AJ191" i="6"/>
  <c r="AK191" i="6"/>
  <c r="AL191" i="6"/>
  <c r="AM191" i="6"/>
  <c r="AN191" i="6"/>
  <c r="AO191" i="6"/>
  <c r="AP191" i="6"/>
  <c r="AQ191" i="6"/>
  <c r="AR191" i="6"/>
  <c r="AS191" i="6"/>
  <c r="AT191" i="6"/>
  <c r="AU191" i="6"/>
  <c r="AV191" i="6"/>
  <c r="AW191" i="6"/>
  <c r="AX191" i="6"/>
  <c r="AY191" i="6"/>
  <c r="AZ191" i="6"/>
  <c r="BA191" i="6"/>
  <c r="I192" i="6"/>
  <c r="J192" i="6"/>
  <c r="K192" i="6"/>
  <c r="L192" i="6"/>
  <c r="M192" i="6"/>
  <c r="N192" i="6"/>
  <c r="O192" i="6"/>
  <c r="P192" i="6"/>
  <c r="Q192" i="6"/>
  <c r="R192" i="6"/>
  <c r="S192" i="6"/>
  <c r="T192" i="6"/>
  <c r="U192" i="6"/>
  <c r="V192" i="6"/>
  <c r="W192" i="6"/>
  <c r="X192" i="6"/>
  <c r="Y192" i="6"/>
  <c r="Z192" i="6"/>
  <c r="AA192" i="6"/>
  <c r="AB192" i="6"/>
  <c r="AC192" i="6"/>
  <c r="AD192" i="6"/>
  <c r="AE192" i="6"/>
  <c r="AF192" i="6"/>
  <c r="AG192" i="6"/>
  <c r="AH192" i="6"/>
  <c r="AI192" i="6"/>
  <c r="AJ192" i="6"/>
  <c r="AK192" i="6"/>
  <c r="AL192" i="6"/>
  <c r="AM192" i="6"/>
  <c r="AN192" i="6"/>
  <c r="AO192" i="6"/>
  <c r="AP192" i="6"/>
  <c r="AQ192" i="6"/>
  <c r="AR192" i="6"/>
  <c r="AS192" i="6"/>
  <c r="AT192" i="6"/>
  <c r="AU192" i="6"/>
  <c r="AV192" i="6"/>
  <c r="AW192" i="6"/>
  <c r="AX192" i="6"/>
  <c r="AY192" i="6"/>
  <c r="AZ192" i="6"/>
  <c r="BA192" i="6"/>
  <c r="I193" i="6"/>
  <c r="J193" i="6"/>
  <c r="K193" i="6"/>
  <c r="L193" i="6"/>
  <c r="M193" i="6"/>
  <c r="N193" i="6"/>
  <c r="O193" i="6"/>
  <c r="P193" i="6"/>
  <c r="Q193" i="6"/>
  <c r="R193" i="6"/>
  <c r="S193" i="6"/>
  <c r="T193" i="6"/>
  <c r="U193" i="6"/>
  <c r="V193" i="6"/>
  <c r="W193" i="6"/>
  <c r="X193" i="6"/>
  <c r="Y193" i="6"/>
  <c r="Z193" i="6"/>
  <c r="AA193" i="6"/>
  <c r="AB193" i="6"/>
  <c r="AC193" i="6"/>
  <c r="AD193" i="6"/>
  <c r="AE193" i="6"/>
  <c r="AF193" i="6"/>
  <c r="AG193" i="6"/>
  <c r="AH193" i="6"/>
  <c r="AI193" i="6"/>
  <c r="AJ193" i="6"/>
  <c r="AK193" i="6"/>
  <c r="AL193" i="6"/>
  <c r="AM193" i="6"/>
  <c r="AN193" i="6"/>
  <c r="AO193" i="6"/>
  <c r="AP193" i="6"/>
  <c r="AQ193" i="6"/>
  <c r="AR193" i="6"/>
  <c r="AS193" i="6"/>
  <c r="AT193" i="6"/>
  <c r="AU193" i="6"/>
  <c r="AV193" i="6"/>
  <c r="AW193" i="6"/>
  <c r="AX193" i="6"/>
  <c r="AY193" i="6"/>
  <c r="AZ193" i="6"/>
  <c r="BA193" i="6"/>
  <c r="I194" i="6"/>
  <c r="J194" i="6"/>
  <c r="K194" i="6"/>
  <c r="L194" i="6"/>
  <c r="M194" i="6"/>
  <c r="N194" i="6"/>
  <c r="O194" i="6"/>
  <c r="P194" i="6"/>
  <c r="Q194" i="6"/>
  <c r="R194" i="6"/>
  <c r="S194" i="6"/>
  <c r="T194" i="6"/>
  <c r="U194" i="6"/>
  <c r="V194" i="6"/>
  <c r="W194" i="6"/>
  <c r="X194" i="6"/>
  <c r="Y194" i="6"/>
  <c r="Z194" i="6"/>
  <c r="AA194" i="6"/>
  <c r="AB194" i="6"/>
  <c r="AC194" i="6"/>
  <c r="AD194" i="6"/>
  <c r="AE194" i="6"/>
  <c r="AF194" i="6"/>
  <c r="AG194" i="6"/>
  <c r="AH194" i="6"/>
  <c r="AI194" i="6"/>
  <c r="AJ194" i="6"/>
  <c r="AK194" i="6"/>
  <c r="AL194" i="6"/>
  <c r="AM194" i="6"/>
  <c r="AN194" i="6"/>
  <c r="AO194" i="6"/>
  <c r="AP194" i="6"/>
  <c r="AQ194" i="6"/>
  <c r="AR194" i="6"/>
  <c r="AS194" i="6"/>
  <c r="AT194" i="6"/>
  <c r="AU194" i="6"/>
  <c r="AV194" i="6"/>
  <c r="AW194" i="6"/>
  <c r="AX194" i="6"/>
  <c r="AY194" i="6"/>
  <c r="AZ194" i="6"/>
  <c r="BA194" i="6"/>
  <c r="I195" i="6"/>
  <c r="J195" i="6"/>
  <c r="K195" i="6"/>
  <c r="L195" i="6"/>
  <c r="M195" i="6"/>
  <c r="N195" i="6"/>
  <c r="O195" i="6"/>
  <c r="P195" i="6"/>
  <c r="Q195" i="6"/>
  <c r="R195" i="6"/>
  <c r="S195" i="6"/>
  <c r="T195" i="6"/>
  <c r="U195" i="6"/>
  <c r="V195" i="6"/>
  <c r="W195" i="6"/>
  <c r="X195" i="6"/>
  <c r="Y195" i="6"/>
  <c r="Z195" i="6"/>
  <c r="AA195" i="6"/>
  <c r="AB195" i="6"/>
  <c r="AC195" i="6"/>
  <c r="AD195" i="6"/>
  <c r="AE195" i="6"/>
  <c r="AF195" i="6"/>
  <c r="AG195" i="6"/>
  <c r="AH195" i="6"/>
  <c r="AI195" i="6"/>
  <c r="AJ195" i="6"/>
  <c r="AK195" i="6"/>
  <c r="AL195" i="6"/>
  <c r="AM195" i="6"/>
  <c r="AN195" i="6"/>
  <c r="AO195" i="6"/>
  <c r="AP195" i="6"/>
  <c r="AQ195" i="6"/>
  <c r="AR195" i="6"/>
  <c r="AS195" i="6"/>
  <c r="AT195" i="6"/>
  <c r="AU195" i="6"/>
  <c r="AV195" i="6"/>
  <c r="AW195" i="6"/>
  <c r="AX195" i="6"/>
  <c r="AY195" i="6"/>
  <c r="AZ195" i="6"/>
  <c r="BA195" i="6"/>
  <c r="B9" i="3"/>
  <c r="B169" i="3"/>
  <c r="B166" i="3"/>
  <c r="B163" i="3"/>
  <c r="B160" i="3"/>
  <c r="B157" i="3"/>
  <c r="B154" i="3"/>
  <c r="B151" i="3"/>
  <c r="B148" i="3"/>
  <c r="B145" i="3"/>
  <c r="B142" i="3"/>
  <c r="B139" i="3"/>
  <c r="B136" i="3"/>
  <c r="B133" i="3"/>
  <c r="B130" i="3"/>
  <c r="B127" i="3"/>
  <c r="B124" i="3"/>
  <c r="B121" i="3"/>
  <c r="B118" i="3"/>
  <c r="B115" i="3"/>
  <c r="B112" i="3"/>
  <c r="B109" i="3"/>
  <c r="B106" i="3"/>
  <c r="B103" i="3"/>
  <c r="B100" i="3"/>
  <c r="B97" i="3"/>
  <c r="B94" i="3"/>
  <c r="B91" i="3"/>
  <c r="B88" i="3"/>
  <c r="B85" i="3"/>
  <c r="B82" i="3"/>
  <c r="B79" i="3"/>
  <c r="B76" i="3"/>
  <c r="B73" i="3"/>
  <c r="B70" i="3"/>
  <c r="B67" i="3"/>
  <c r="B64" i="3"/>
  <c r="B61" i="3"/>
  <c r="B58" i="3"/>
  <c r="B55" i="3"/>
  <c r="B52" i="3"/>
  <c r="B49" i="3"/>
  <c r="B46" i="3"/>
  <c r="B43" i="3"/>
  <c r="B40" i="3"/>
  <c r="B37" i="3"/>
  <c r="B34" i="3"/>
  <c r="B31" i="3"/>
  <c r="B28" i="3"/>
  <c r="B25" i="3"/>
  <c r="B22" i="3"/>
  <c r="B19" i="3"/>
  <c r="B16" i="3"/>
  <c r="B13" i="3"/>
  <c r="B7" i="3"/>
  <c r="B3" i="3"/>
  <c r="Q22" i="4" l="1"/>
  <c r="O48" i="4"/>
  <c r="D19" i="4"/>
  <c r="R20" i="4"/>
  <c r="R22" i="4"/>
  <c r="P48" i="4"/>
  <c r="E19" i="4"/>
  <c r="S20" i="4"/>
  <c r="P44" i="4"/>
  <c r="W35" i="4"/>
  <c r="E32" i="4"/>
  <c r="L51" i="4"/>
  <c r="AA44" i="4"/>
  <c r="I34" i="4"/>
  <c r="P32" i="4"/>
  <c r="L50" i="4"/>
  <c r="AH45" i="4"/>
  <c r="K53" i="4"/>
  <c r="O41" i="4"/>
  <c r="T29" i="4"/>
  <c r="C46" i="4"/>
  <c r="O19" i="4"/>
  <c r="K20" i="4"/>
  <c r="S54" i="4"/>
  <c r="C26" i="4"/>
  <c r="M16" i="4"/>
  <c r="L42" i="4"/>
  <c r="K43" i="4"/>
  <c r="F52" i="4"/>
  <c r="D50" i="4"/>
  <c r="Y22" i="4"/>
  <c r="E48" i="4"/>
  <c r="H45" i="4"/>
  <c r="X17" i="4"/>
  <c r="X36" i="4"/>
  <c r="AN22" i="4"/>
  <c r="T48" i="4"/>
  <c r="AB33" i="4"/>
  <c r="R28" i="4"/>
  <c r="U38" i="4"/>
  <c r="V49" i="4"/>
  <c r="B13" i="4"/>
  <c r="S39" i="4"/>
  <c r="M34" i="4"/>
  <c r="B32" i="4"/>
  <c r="H24" i="4"/>
  <c r="AN45" i="4"/>
  <c r="Q53" i="4"/>
  <c r="U41" i="4"/>
  <c r="AB29" i="4"/>
  <c r="K46" i="4"/>
  <c r="W19" i="4"/>
  <c r="Q20" i="4"/>
  <c r="Y54" i="4"/>
  <c r="I26" i="4"/>
  <c r="C47" i="4"/>
  <c r="T42" i="4"/>
  <c r="S43" i="4"/>
  <c r="N52" i="4"/>
  <c r="J50" i="4"/>
  <c r="P46" i="4"/>
  <c r="S17" i="4"/>
  <c r="I18" i="4"/>
  <c r="AP45" i="4"/>
  <c r="Q33" i="4"/>
  <c r="N22" i="4"/>
  <c r="Y19" i="4"/>
  <c r="AB39" i="4"/>
  <c r="D27" i="4"/>
  <c r="D23" i="4"/>
  <c r="L35" i="4"/>
  <c r="B18" i="4"/>
  <c r="K48" i="4"/>
  <c r="AD20" i="4"/>
  <c r="I46" i="4"/>
  <c r="F41" i="4"/>
  <c r="W38" i="4"/>
  <c r="N40" i="4"/>
  <c r="U44" i="4"/>
  <c r="J52" i="4"/>
  <c r="O29" i="4"/>
  <c r="AB19" i="4"/>
  <c r="R29" i="4"/>
  <c r="AI17" i="4"/>
  <c r="L28" i="4"/>
  <c r="E35" i="4"/>
  <c r="G50" i="4"/>
  <c r="I43" i="4"/>
  <c r="H16" i="4"/>
  <c r="K42" i="4"/>
  <c r="J54" i="4"/>
  <c r="E30" i="4"/>
  <c r="E53" i="4"/>
  <c r="W28" i="4"/>
  <c r="T53" i="4"/>
  <c r="L39" i="4"/>
  <c r="F21" i="4"/>
  <c r="O27" i="4"/>
  <c r="AJ17" i="4"/>
  <c r="G45" i="4"/>
  <c r="B28" i="4"/>
  <c r="N13" i="4"/>
  <c r="I27" i="4"/>
  <c r="L19" i="4"/>
  <c r="Q46" i="4"/>
  <c r="AD42" i="4"/>
  <c r="I47" i="4"/>
  <c r="E27" i="4"/>
  <c r="AN17" i="4"/>
  <c r="U28" i="4"/>
  <c r="F48" i="4"/>
  <c r="AE20" i="4"/>
  <c r="F43" i="4"/>
  <c r="C16" i="4"/>
  <c r="F54" i="4"/>
  <c r="G30" i="4"/>
  <c r="C29" i="4"/>
  <c r="AK45" i="4"/>
  <c r="Y35" i="4"/>
  <c r="J47" i="4"/>
  <c r="Q44" i="4"/>
  <c r="O16" i="4"/>
  <c r="L34" i="4"/>
  <c r="F18" i="4"/>
  <c r="Q42" i="4"/>
  <c r="H22" i="4"/>
  <c r="AP46" i="4"/>
  <c r="AR45" i="4"/>
  <c r="W53" i="4"/>
  <c r="AC41" i="4"/>
  <c r="AL29" i="4"/>
  <c r="W46" i="4"/>
  <c r="AK19" i="4"/>
  <c r="AI20" i="4"/>
  <c r="AC54" i="4"/>
  <c r="O26" i="4"/>
  <c r="K47" i="4"/>
  <c r="B12" i="4"/>
  <c r="D38" i="4"/>
  <c r="G49" i="4"/>
  <c r="C21" i="4"/>
  <c r="P45" i="4"/>
  <c r="L17" i="4"/>
  <c r="AB20" i="4"/>
  <c r="AI45" i="4"/>
  <c r="AG17" i="4"/>
  <c r="M36" i="4"/>
  <c r="H44" i="4"/>
  <c r="H27" i="4"/>
  <c r="D21" i="4"/>
  <c r="S44" i="4"/>
  <c r="N26" i="4"/>
  <c r="D16" i="4"/>
  <c r="Q29" i="4"/>
  <c r="W48" i="4"/>
  <c r="AF46" i="4"/>
  <c r="Z19" i="4"/>
  <c r="D20" i="4"/>
  <c r="I45" i="4"/>
  <c r="G17" i="4"/>
  <c r="W20" i="4"/>
  <c r="K54" i="4"/>
  <c r="D49" i="4"/>
  <c r="E50" i="4"/>
  <c r="V54" i="4"/>
  <c r="K27" i="4"/>
  <c r="I21" i="4"/>
  <c r="AI22" i="4"/>
  <c r="AI53" i="4"/>
  <c r="C41" i="4"/>
  <c r="AJ22" i="4"/>
  <c r="AJ53" i="4"/>
  <c r="V41" i="4"/>
  <c r="V39" i="4"/>
  <c r="U35" i="4"/>
  <c r="D40" i="4"/>
  <c r="B42" i="4"/>
  <c r="G34" i="4"/>
  <c r="O40" i="4"/>
  <c r="B14" i="4"/>
  <c r="D29" i="4"/>
  <c r="Q26" i="4"/>
  <c r="AK22" i="4"/>
  <c r="W41" i="4"/>
  <c r="AQ46" i="4"/>
  <c r="J41" i="4"/>
  <c r="X43" i="4"/>
  <c r="F13" i="4"/>
  <c r="U43" i="4"/>
  <c r="C13" i="4"/>
  <c r="O53" i="4"/>
  <c r="E28" i="4"/>
  <c r="B53" i="4"/>
  <c r="W42" i="4"/>
  <c r="B27" i="4"/>
  <c r="R42" i="4"/>
  <c r="S49" i="4"/>
  <c r="W22" i="4"/>
  <c r="E33" i="4"/>
  <c r="S45" i="4"/>
  <c r="AB41" i="4"/>
  <c r="O38" i="4"/>
  <c r="I16" i="4"/>
  <c r="L38" i="4"/>
  <c r="G21" i="4"/>
  <c r="J43" i="4"/>
  <c r="P47" i="4"/>
  <c r="X45" i="4"/>
  <c r="I41" i="4"/>
  <c r="AA46" i="4"/>
  <c r="J28" i="4"/>
  <c r="C50" i="4"/>
  <c r="K30" i="4"/>
  <c r="AJ36" i="4"/>
  <c r="AE19" i="4"/>
  <c r="S26" i="4"/>
  <c r="AA43" i="4"/>
  <c r="AH17" i="4"/>
  <c r="AL53" i="4"/>
  <c r="C54" i="4"/>
  <c r="AA39" i="4"/>
  <c r="T45" i="4"/>
  <c r="E41" i="4"/>
  <c r="Y46" i="4"/>
  <c r="AA36" i="4"/>
  <c r="D34" i="4"/>
  <c r="H51" i="4"/>
  <c r="X35" i="4"/>
  <c r="E51" i="4"/>
  <c r="AE41" i="4"/>
  <c r="E42" i="4"/>
  <c r="V52" i="4"/>
  <c r="T52" i="4"/>
  <c r="H52" i="4"/>
  <c r="J32" i="4"/>
  <c r="AC22" i="4"/>
  <c r="I11" i="4"/>
  <c r="G40" i="4"/>
  <c r="W27" i="4"/>
  <c r="T30" i="4"/>
  <c r="AB45" i="4"/>
  <c r="G53" i="4"/>
  <c r="V29" i="4"/>
  <c r="U19" i="4"/>
  <c r="M54" i="4"/>
  <c r="K16" i="4"/>
  <c r="O43" i="4"/>
  <c r="G51" i="4"/>
  <c r="AF19" i="4"/>
  <c r="Q45" i="4"/>
  <c r="AC20" i="4"/>
  <c r="J49" i="4"/>
  <c r="K50" i="4"/>
  <c r="S27" i="4"/>
  <c r="M41" i="4"/>
  <c r="G46" i="4"/>
  <c r="C20" i="4"/>
  <c r="V27" i="4"/>
  <c r="N42" i="4"/>
  <c r="L52" i="4"/>
  <c r="AN46" i="4"/>
  <c r="J20" i="4"/>
  <c r="M17" i="4"/>
  <c r="AC38" i="4"/>
  <c r="AD54" i="4"/>
  <c r="O21" i="4"/>
  <c r="E29" i="4"/>
  <c r="AE48" i="4"/>
  <c r="Y33" i="4"/>
  <c r="S28" i="4"/>
  <c r="M45" i="4"/>
  <c r="AE17" i="4"/>
  <c r="AG36" i="4"/>
  <c r="R39" i="4"/>
  <c r="N34" i="4"/>
  <c r="H30" i="4"/>
  <c r="G15" i="4"/>
  <c r="H54" i="4"/>
  <c r="Q27" i="4"/>
  <c r="F16" i="4"/>
  <c r="AA22" i="4"/>
  <c r="AC53" i="4"/>
  <c r="AD36" i="4"/>
  <c r="AB22" i="4"/>
  <c r="AD53" i="4"/>
  <c r="P41" i="4"/>
  <c r="N39" i="4"/>
  <c r="O35" i="4"/>
  <c r="O47" i="4"/>
  <c r="Y39" i="4"/>
  <c r="Z35" i="4"/>
  <c r="I40" i="4"/>
  <c r="B10" i="4"/>
  <c r="R46" i="4"/>
  <c r="C22" i="4"/>
  <c r="C53" i="4"/>
  <c r="F36" i="4"/>
  <c r="D22" i="4"/>
  <c r="D53" i="4"/>
  <c r="Y36" i="4"/>
  <c r="T44" i="4"/>
  <c r="M26" i="4"/>
  <c r="E16" i="4"/>
  <c r="AE44" i="4"/>
  <c r="X26" i="4"/>
  <c r="P16" i="4"/>
  <c r="AA29" i="4"/>
  <c r="AG48" i="4"/>
  <c r="U33" i="4"/>
  <c r="AT29" i="4"/>
  <c r="AH48" i="4"/>
  <c r="V33" i="4"/>
  <c r="AA42" i="4"/>
  <c r="H43" i="4"/>
  <c r="C32" i="4"/>
  <c r="H23" i="4"/>
  <c r="J38" i="4"/>
  <c r="N32" i="4"/>
  <c r="D24" i="4"/>
  <c r="AA41" i="4"/>
  <c r="D44" i="4"/>
  <c r="L13" i="4"/>
  <c r="AL19" i="4"/>
  <c r="AR22" i="4"/>
  <c r="AF33" i="4"/>
  <c r="AA54" i="4"/>
  <c r="R40" i="4"/>
  <c r="Z54" i="4"/>
  <c r="M40" i="4"/>
  <c r="B45" i="4"/>
  <c r="Z36" i="4"/>
  <c r="V48" i="4"/>
  <c r="O20" i="4"/>
  <c r="M35" i="4"/>
  <c r="D11" i="4"/>
  <c r="J35" i="4"/>
  <c r="C11" i="4"/>
  <c r="R17" i="4"/>
  <c r="AF22" i="4"/>
  <c r="M19" i="4"/>
  <c r="R44" i="4"/>
  <c r="R30" i="4"/>
  <c r="O44" i="4"/>
  <c r="M30" i="4"/>
  <c r="G20" i="4"/>
  <c r="C34" i="4"/>
  <c r="K29" i="4"/>
  <c r="AE33" i="4"/>
  <c r="AQ45" i="4"/>
  <c r="AC36" i="4"/>
  <c r="E52" i="4"/>
  <c r="V26" i="4"/>
  <c r="P19" i="4"/>
  <c r="D48" i="4"/>
  <c r="E38" i="4"/>
  <c r="C39" i="4"/>
  <c r="E22" i="4"/>
  <c r="T22" i="4"/>
  <c r="AB28" i="4"/>
  <c r="B51" i="4"/>
  <c r="G29" i="4"/>
  <c r="AC33" i="4"/>
  <c r="AM45" i="4"/>
  <c r="N33" i="4"/>
  <c r="I54" i="4"/>
  <c r="Q47" i="4"/>
  <c r="F38" i="4"/>
  <c r="O13" i="4"/>
  <c r="AE53" i="4"/>
  <c r="R41" i="4"/>
  <c r="C44" i="4"/>
  <c r="S38" i="4"/>
  <c r="P43" i="4"/>
  <c r="N21" i="4"/>
  <c r="M43" i="4"/>
  <c r="K34" i="4"/>
  <c r="B37" i="4"/>
  <c r="K52" i="4"/>
  <c r="AF41" i="4"/>
  <c r="AK17" i="4"/>
  <c r="AL46" i="4"/>
  <c r="I33" i="4"/>
  <c r="B22" i="4"/>
  <c r="Z33" i="4"/>
  <c r="C42" i="4"/>
  <c r="L49" i="4"/>
  <c r="D37" i="4"/>
  <c r="B35" i="4"/>
  <c r="J24" i="4"/>
  <c r="G48" i="4"/>
  <c r="G28" i="4"/>
  <c r="L53" i="4"/>
  <c r="U42" i="4"/>
  <c r="M52" i="4"/>
  <c r="B25" i="4"/>
  <c r="C49" i="4"/>
  <c r="AI29" i="4"/>
  <c r="AE29" i="4"/>
  <c r="AO53" i="4"/>
  <c r="V20" i="4"/>
  <c r="O46" i="4"/>
  <c r="Z41" i="4"/>
  <c r="B44" i="4"/>
  <c r="I32" i="4"/>
  <c r="X42" i="4"/>
  <c r="F26" i="4"/>
  <c r="I51" i="4"/>
  <c r="AB46" i="4"/>
  <c r="C33" i="4"/>
  <c r="AO45" i="4"/>
  <c r="C17" i="4"/>
  <c r="I42" i="4"/>
  <c r="N27" i="4"/>
  <c r="J51" i="4"/>
  <c r="AA34" i="4"/>
  <c r="L16" i="4"/>
  <c r="Y53" i="4"/>
  <c r="AB43" i="4"/>
  <c r="L46" i="4"/>
  <c r="I28" i="4"/>
  <c r="B33" i="4"/>
  <c r="Q35" i="4"/>
  <c r="W39" i="4"/>
  <c r="B47" i="4"/>
  <c r="AH19" i="4"/>
  <c r="Y45" i="4"/>
  <c r="V28" i="4"/>
  <c r="G32" i="4"/>
  <c r="Q43" i="4"/>
  <c r="E37" i="4"/>
  <c r="R36" i="4"/>
  <c r="Z53" i="4"/>
  <c r="Q54" i="4"/>
  <c r="G24" i="4"/>
  <c r="M49" i="4"/>
  <c r="O54" i="4"/>
  <c r="D14" i="4"/>
  <c r="P17" i="4"/>
  <c r="O45" i="4"/>
  <c r="M38" i="4"/>
  <c r="H38" i="4"/>
  <c r="W33" i="4"/>
  <c r="W36" i="4"/>
  <c r="C15" i="4"/>
  <c r="U48" i="4"/>
  <c r="AC19" i="4"/>
  <c r="B49" i="4"/>
  <c r="M22" i="4"/>
  <c r="N20" i="4"/>
  <c r="AI19" i="4"/>
  <c r="G38" i="4"/>
  <c r="D25" i="4"/>
  <c r="R32" i="4"/>
  <c r="H17" i="4"/>
  <c r="L27" i="4"/>
  <c r="E46" i="4"/>
  <c r="P54" i="4"/>
  <c r="X29" i="4"/>
  <c r="E26" i="4"/>
  <c r="F35" i="4"/>
  <c r="E23" i="4"/>
  <c r="F31" i="4"/>
  <c r="V46" i="4"/>
  <c r="AF36" i="4"/>
  <c r="AC45" i="4"/>
  <c r="J33" i="4"/>
  <c r="B39" i="4"/>
  <c r="Q52" i="4"/>
  <c r="AC39" i="4"/>
  <c r="J26" i="4"/>
  <c r="AM29" i="4"/>
  <c r="AF17" i="4"/>
  <c r="AN29" i="4"/>
  <c r="AG19" i="4"/>
  <c r="AF39" i="4"/>
  <c r="O32" i="4"/>
  <c r="G39" i="4"/>
  <c r="H32" i="4"/>
  <c r="AQ22" i="4"/>
  <c r="M29" i="4"/>
  <c r="U53" i="4"/>
  <c r="Q28" i="4"/>
  <c r="AL48" i="4"/>
  <c r="H41" i="4"/>
  <c r="C38" i="4"/>
  <c r="J30" i="4"/>
  <c r="F42" i="4"/>
  <c r="O49" i="4"/>
  <c r="G23" i="4"/>
  <c r="J46" i="4"/>
  <c r="T36" i="4"/>
  <c r="W45" i="4"/>
  <c r="C19" i="4"/>
  <c r="D39" i="4"/>
  <c r="R49" i="4"/>
  <c r="B11" i="4"/>
  <c r="N35" i="4"/>
  <c r="I13" i="4"/>
  <c r="D17" i="4"/>
  <c r="M32" i="4"/>
  <c r="Q48" i="4"/>
  <c r="AD29" i="4"/>
  <c r="O36" i="4"/>
  <c r="K26" i="4"/>
  <c r="W44" i="4"/>
  <c r="E11" i="4"/>
  <c r="F19" i="4"/>
  <c r="AG22" i="4"/>
  <c r="P36" i="4"/>
  <c r="AN53" i="4"/>
  <c r="D28" i="4"/>
  <c r="U32" i="4"/>
  <c r="X54" i="4"/>
  <c r="F47" i="4"/>
  <c r="N19" i="4"/>
  <c r="AO46" i="4"/>
  <c r="Z28" i="4"/>
  <c r="P30" i="4"/>
  <c r="B38" i="4"/>
  <c r="F15" i="4"/>
  <c r="AM22" i="4"/>
  <c r="AA33" i="4"/>
  <c r="AA45" i="4"/>
  <c r="G36" i="4"/>
  <c r="B34" i="4"/>
  <c r="E15" i="4"/>
  <c r="R52" i="4"/>
  <c r="I29" i="4"/>
  <c r="V19" i="4"/>
  <c r="E45" i="4"/>
  <c r="U36" i="4"/>
  <c r="P34" i="4"/>
  <c r="E14" i="4"/>
  <c r="G27" i="4"/>
  <c r="AO22" i="4"/>
  <c r="Z42" i="4"/>
  <c r="J19" i="4"/>
  <c r="F53" i="4"/>
  <c r="S52" i="4"/>
  <c r="H26" i="4"/>
  <c r="H46" i="4"/>
  <c r="AK46" i="4"/>
  <c r="X44" i="4"/>
  <c r="M50" i="4"/>
  <c r="K40" i="4"/>
  <c r="I53" i="4"/>
  <c r="AP48" i="4"/>
  <c r="P39" i="4"/>
  <c r="C31" i="4"/>
  <c r="C40" i="4"/>
  <c r="G16" i="4"/>
  <c r="S22" i="4"/>
  <c r="AR29" i="4"/>
  <c r="AG20" i="4"/>
  <c r="I44" i="4"/>
  <c r="H36" i="4"/>
  <c r="F39" i="4"/>
  <c r="P26" i="4"/>
  <c r="K28" i="4"/>
  <c r="X34" i="4"/>
  <c r="P35" i="4"/>
  <c r="J36" i="4"/>
  <c r="G19" i="4"/>
  <c r="P27" i="4"/>
  <c r="E44" i="4"/>
  <c r="C25" i="4"/>
  <c r="AL33" i="4"/>
  <c r="I48" i="4"/>
  <c r="I36" i="4"/>
  <c r="K35" i="4"/>
  <c r="Q40" i="4"/>
  <c r="U45" i="4"/>
  <c r="U54" i="4"/>
  <c r="AG46" i="4"/>
  <c r="T32" i="4"/>
  <c r="B19" i="4"/>
  <c r="C36" i="4"/>
  <c r="O39" i="4"/>
  <c r="J45" i="4"/>
  <c r="AB36" i="4"/>
  <c r="K32" i="4"/>
  <c r="Z17" i="4"/>
  <c r="W54" i="4"/>
  <c r="N16" i="4"/>
  <c r="L48" i="4"/>
  <c r="J42" i="4"/>
  <c r="C24" i="4"/>
  <c r="P29" i="4"/>
  <c r="O28" i="4"/>
  <c r="L32" i="4"/>
  <c r="S35" i="4"/>
  <c r="AQ29" i="4"/>
  <c r="T41" i="4"/>
  <c r="C43" i="4"/>
  <c r="K21" i="4"/>
  <c r="AJ45" i="4"/>
  <c r="F46" i="4"/>
  <c r="B20" i="4"/>
  <c r="H53" i="4"/>
  <c r="Y38" i="4"/>
  <c r="J13" i="4"/>
  <c r="Y34" i="4"/>
  <c r="S29" i="4"/>
  <c r="O33" i="4"/>
  <c r="Z48" i="4"/>
  <c r="Z44" i="4"/>
  <c r="H13" i="4"/>
  <c r="H35" i="4"/>
  <c r="G22" i="4"/>
  <c r="Z45" i="4"/>
  <c r="Y41" i="4"/>
  <c r="B48" i="4"/>
  <c r="AF42" i="4"/>
  <c r="R27" i="4"/>
  <c r="M44" i="4"/>
  <c r="S40" i="4"/>
  <c r="V45" i="4"/>
  <c r="B36" i="4"/>
  <c r="N48" i="4"/>
  <c r="AF28" i="4"/>
  <c r="U52" i="4"/>
  <c r="Y44" i="4"/>
  <c r="O30" i="4"/>
  <c r="H20" i="4"/>
  <c r="Y43" i="4"/>
  <c r="AF20" i="4"/>
  <c r="U20" i="4"/>
  <c r="E47" i="4"/>
  <c r="P52" i="4"/>
  <c r="M33" i="4"/>
  <c r="K17" i="4"/>
  <c r="V43" i="4"/>
  <c r="U39" i="4"/>
  <c r="M21" i="4"/>
  <c r="K41" i="4"/>
  <c r="E17" i="4"/>
  <c r="J34" i="4"/>
  <c r="K39" i="4"/>
  <c r="B24" i="4"/>
  <c r="I39" i="4"/>
  <c r="AI48" i="4"/>
  <c r="AD22" i="4"/>
  <c r="F34" i="4"/>
  <c r="B52" i="4"/>
  <c r="H29" i="4"/>
  <c r="B43" i="4"/>
  <c r="K13" i="4"/>
  <c r="AG45" i="4"/>
  <c r="J27" i="4"/>
  <c r="Z46" i="4"/>
  <c r="L29" i="4"/>
  <c r="AH28" i="4"/>
  <c r="S32" i="4"/>
  <c r="R26" i="4"/>
  <c r="R45" i="4"/>
  <c r="E54" i="4"/>
  <c r="B41" i="4"/>
  <c r="V17" i="4"/>
  <c r="P28" i="4"/>
  <c r="K33" i="4"/>
  <c r="V44" i="4"/>
  <c r="Q49" i="4"/>
  <c r="AD17" i="4"/>
  <c r="F29" i="4"/>
  <c r="AD41" i="4"/>
  <c r="T43" i="4"/>
  <c r="E18" i="4"/>
  <c r="W49" i="4"/>
  <c r="I22" i="4"/>
  <c r="L36" i="4"/>
  <c r="AH33" i="4"/>
  <c r="R43" i="4"/>
  <c r="E24" i="4"/>
  <c r="I30" i="4"/>
  <c r="AK48" i="4"/>
  <c r="AE42" i="4"/>
  <c r="Y17" i="4"/>
  <c r="Z39" i="4"/>
  <c r="H40" i="4"/>
  <c r="N38" i="4"/>
  <c r="M13" i="4"/>
  <c r="M48" i="4"/>
  <c r="AE28" i="4"/>
  <c r="N44" i="4"/>
  <c r="D30" i="4"/>
  <c r="R54" i="4"/>
  <c r="AB48" i="4"/>
  <c r="AC29" i="4"/>
  <c r="Y42" i="4"/>
  <c r="J11" i="4"/>
  <c r="AG28" i="4"/>
  <c r="AD33" i="4"/>
  <c r="R38" i="4"/>
  <c r="AA28" i="4"/>
  <c r="AI36" i="4"/>
  <c r="E34" i="4"/>
  <c r="AN48" i="4"/>
  <c r="X19" i="4"/>
  <c r="AC17" i="4"/>
  <c r="K51" i="4"/>
  <c r="AD48" i="4"/>
  <c r="C12" i="4"/>
  <c r="AJ33" i="4"/>
  <c r="AG53" i="4"/>
  <c r="K45" i="4"/>
  <c r="B21" i="4"/>
  <c r="E49" i="4"/>
  <c r="F51" i="4"/>
  <c r="G13" i="4"/>
  <c r="AK33" i="4"/>
  <c r="T39" i="4"/>
  <c r="W29" i="4"/>
  <c r="N41" i="4"/>
  <c r="S30" i="4"/>
  <c r="Y28" i="4"/>
  <c r="Z34" i="4"/>
  <c r="H47" i="4"/>
  <c r="AJ46" i="4"/>
  <c r="AF29" i="4"/>
  <c r="AA19" i="4"/>
  <c r="G47" i="4"/>
  <c r="D18" i="4"/>
  <c r="AL17" i="4"/>
  <c r="AM53" i="4"/>
  <c r="C28" i="4"/>
  <c r="O17" i="4"/>
  <c r="I38" i="4"/>
  <c r="H21" i="4"/>
  <c r="R35" i="4"/>
  <c r="AS22" i="4"/>
  <c r="AG41" i="4"/>
  <c r="H48" i="4"/>
  <c r="K38" i="4"/>
  <c r="D51" i="4"/>
  <c r="U49" i="4"/>
  <c r="AF45" i="4"/>
  <c r="N46" i="4"/>
  <c r="G41" i="4"/>
  <c r="V53" i="4"/>
  <c r="M42" i="4"/>
  <c r="G52" i="4"/>
  <c r="D54" i="4"/>
  <c r="R47" i="4"/>
  <c r="D45" i="4"/>
  <c r="P20" i="4"/>
  <c r="R53" i="4"/>
  <c r="N28" i="4"/>
  <c r="C52" i="4"/>
  <c r="G44" i="4"/>
  <c r="N47" i="4"/>
  <c r="C45" i="4"/>
  <c r="L26" i="4"/>
  <c r="F20" i="4"/>
  <c r="X28" i="4"/>
  <c r="C18" i="4"/>
  <c r="F32" i="4"/>
  <c r="S41" i="4"/>
  <c r="S19" i="4"/>
  <c r="R34" i="4"/>
  <c r="T54" i="4"/>
  <c r="H50" i="4"/>
  <c r="X20" i="4"/>
  <c r="T33" i="4"/>
  <c r="X27" i="4"/>
  <c r="N54" i="4"/>
  <c r="D31" i="4"/>
  <c r="I49" i="4"/>
  <c r="AK53" i="4"/>
  <c r="J48" i="4"/>
  <c r="Y26" i="4"/>
  <c r="B16" i="4"/>
  <c r="X22" i="4"/>
  <c r="F49" i="4"/>
  <c r="H18" i="4"/>
  <c r="J53" i="4"/>
  <c r="B30" i="4"/>
  <c r="AC48" i="4"/>
  <c r="Z22" i="4"/>
  <c r="F28" i="4"/>
  <c r="L30" i="4"/>
  <c r="M27" i="4"/>
  <c r="X46" i="4"/>
  <c r="M47" i="4"/>
  <c r="L40" i="4"/>
  <c r="AG42" i="4"/>
  <c r="F50" i="4"/>
  <c r="Q19" i="4"/>
  <c r="P42" i="4"/>
  <c r="J16" i="4"/>
  <c r="N45" i="4"/>
  <c r="AM17" i="4"/>
  <c r="E21" i="4"/>
  <c r="AE45" i="4"/>
  <c r="G37" i="4"/>
  <c r="G26" i="4"/>
  <c r="AD45" i="4"/>
  <c r="P49" i="4"/>
  <c r="N18" i="4"/>
  <c r="N49" i="4"/>
  <c r="Q32" i="4"/>
  <c r="F23" i="4"/>
  <c r="G42" i="4"/>
  <c r="L20" i="4"/>
  <c r="AB53" i="4"/>
  <c r="D47" i="4"/>
  <c r="N17" i="4"/>
  <c r="AH22" i="4"/>
  <c r="D43" i="4"/>
  <c r="F11" i="4"/>
  <c r="T46" i="4"/>
  <c r="P33" i="4"/>
  <c r="B23" i="4"/>
  <c r="S48" i="4"/>
  <c r="H39" i="4"/>
  <c r="W43" i="4"/>
  <c r="M28" i="4"/>
  <c r="AK29" i="4"/>
  <c r="AJ19" i="4"/>
  <c r="AM46" i="4"/>
  <c r="Q36" i="4"/>
  <c r="G35" i="4"/>
  <c r="M39" i="4"/>
  <c r="C30" i="4"/>
  <c r="B46" i="4"/>
  <c r="B29" i="4"/>
  <c r="AH41" i="4"/>
  <c r="H34" i="4"/>
  <c r="L54" i="4"/>
  <c r="J18" i="4"/>
  <c r="AO48" i="4"/>
  <c r="F17" i="4"/>
  <c r="N29" i="4"/>
  <c r="I19" i="4"/>
  <c r="L43" i="4"/>
  <c r="K18" i="4"/>
  <c r="E43" i="4"/>
  <c r="B31" i="4"/>
  <c r="T17" i="4"/>
  <c r="J29" i="4"/>
  <c r="D33" i="4"/>
  <c r="Q38" i="4"/>
  <c r="L21" i="4"/>
  <c r="T26" i="4"/>
  <c r="C23" i="4"/>
  <c r="Y20" i="4"/>
  <c r="S53" i="4"/>
  <c r="X48" i="4"/>
  <c r="AA38" i="4"/>
  <c r="X38" i="4"/>
  <c r="AE22" i="4"/>
  <c r="AP22" i="4"/>
  <c r="K36" i="4"/>
  <c r="Q16" i="4"/>
  <c r="D26" i="4"/>
  <c r="AM48" i="4"/>
  <c r="F22" i="4"/>
  <c r="I20" i="4"/>
  <c r="F40" i="4"/>
  <c r="U27" i="4"/>
  <c r="T27" i="4"/>
  <c r="V35" i="4"/>
  <c r="N36" i="4"/>
  <c r="K19" i="4"/>
  <c r="C14" i="4"/>
  <c r="K22" i="4"/>
  <c r="L33" i="4"/>
  <c r="AB42" i="4"/>
  <c r="AH36" i="4"/>
  <c r="S36" i="4"/>
  <c r="Z38" i="4"/>
  <c r="R19" i="4"/>
  <c r="P53" i="4"/>
  <c r="J44" i="4"/>
  <c r="D42" i="4"/>
  <c r="L18" i="4"/>
  <c r="S46" i="4"/>
  <c r="W34" i="4"/>
  <c r="AC28" i="4"/>
  <c r="P38" i="4"/>
  <c r="I17" i="4"/>
  <c r="F24" i="4"/>
  <c r="V36" i="4"/>
  <c r="L45" i="4"/>
  <c r="AH20" i="4"/>
  <c r="X53" i="4"/>
  <c r="S42" i="4"/>
  <c r="J40" i="4"/>
  <c r="T38" i="4"/>
  <c r="E13" i="4"/>
  <c r="AG33" i="4"/>
  <c r="U46" i="4"/>
  <c r="H28" i="4"/>
  <c r="P40" i="4"/>
  <c r="S34" i="4"/>
  <c r="C37" i="4"/>
  <c r="U22" i="4"/>
  <c r="G33" i="4"/>
  <c r="E20" i="4"/>
  <c r="I35" i="4"/>
  <c r="E31" i="4"/>
  <c r="O22" i="4"/>
  <c r="AC46" i="4"/>
  <c r="C35" i="4"/>
  <c r="K49" i="4"/>
  <c r="AC44" i="4"/>
  <c r="Q17" i="4"/>
  <c r="C27" i="4"/>
  <c r="AF53" i="4"/>
  <c r="F37" i="4"/>
  <c r="AI33" i="4"/>
  <c r="N43" i="4"/>
  <c r="B50" i="4"/>
  <c r="AD46" i="4"/>
  <c r="G43" i="4"/>
  <c r="F44" i="4"/>
  <c r="AH29" i="4"/>
  <c r="AP29" i="4"/>
  <c r="H49" i="4"/>
  <c r="AO29" i="4"/>
  <c r="Z20" i="4"/>
  <c r="Q30" i="4"/>
  <c r="Q39" i="4"/>
  <c r="U29" i="4"/>
  <c r="T19" i="4"/>
  <c r="AF48" i="4"/>
  <c r="T28" i="4"/>
  <c r="F27" i="4"/>
  <c r="K44" i="4"/>
  <c r="E40" i="4"/>
  <c r="Y48" i="4"/>
  <c r="J22" i="4"/>
  <c r="AE36" i="4"/>
  <c r="U26" i="4"/>
  <c r="V38" i="4"/>
  <c r="G11" i="4"/>
  <c r="AA53" i="4"/>
  <c r="H19" i="4"/>
  <c r="V22" i="4"/>
  <c r="H33" i="4"/>
  <c r="T34" i="4"/>
  <c r="H11" i="4"/>
  <c r="T35" i="4"/>
  <c r="AS29" i="4"/>
  <c r="B17" i="4"/>
  <c r="P22" i="4"/>
  <c r="D41" i="4"/>
  <c r="Z43" i="4"/>
  <c r="G18" i="4"/>
  <c r="B26" i="4"/>
  <c r="AG29" i="4"/>
  <c r="AD39" i="4"/>
  <c r="AB17" i="4"/>
  <c r="AH53" i="4"/>
  <c r="V34" i="4"/>
  <c r="Q34" i="4"/>
  <c r="AL45" i="4"/>
  <c r="L22" i="4"/>
  <c r="X39" i="4"/>
  <c r="D13" i="4"/>
  <c r="D32" i="4"/>
  <c r="C48" i="4"/>
  <c r="AE46" i="4"/>
  <c r="O42" i="4"/>
  <c r="J21" i="4"/>
  <c r="D52" i="4"/>
  <c r="N30" i="4"/>
  <c r="K11" i="4"/>
  <c r="T20" i="4"/>
  <c r="R33" i="4"/>
  <c r="H42" i="4"/>
  <c r="AA48" i="4"/>
  <c r="AA20" i="4"/>
  <c r="B54" i="4"/>
  <c r="D36" i="4"/>
  <c r="AD44" i="4"/>
  <c r="U34" i="4"/>
  <c r="AI41" i="4"/>
  <c r="AA17" i="4"/>
  <c r="W26" i="4"/>
  <c r="E39" i="4"/>
  <c r="D15" i="4"/>
  <c r="N53" i="4"/>
  <c r="B15" i="4"/>
  <c r="R48" i="4"/>
  <c r="AD19" i="4"/>
  <c r="I24" i="4"/>
  <c r="Q41" i="4"/>
  <c r="AI46" i="4"/>
  <c r="L44" i="4"/>
  <c r="AD28" i="4"/>
  <c r="X33" i="4"/>
  <c r="U17" i="4"/>
  <c r="AB44" i="4"/>
  <c r="AC42" i="4"/>
  <c r="B40" i="4"/>
  <c r="AJ48" i="4"/>
  <c r="AL22" i="4"/>
  <c r="T49" i="4"/>
  <c r="AH46" i="4"/>
  <c r="G54" i="4"/>
  <c r="V42" i="4"/>
  <c r="E36" i="4"/>
  <c r="H15" i="4"/>
  <c r="J39" i="4"/>
  <c r="AK41" i="4"/>
  <c r="AM19" i="4"/>
  <c r="P13" i="4"/>
  <c r="Y29" i="4"/>
  <c r="I52" i="4"/>
  <c r="W17" i="4"/>
  <c r="I15" i="4"/>
  <c r="D46" i="4"/>
  <c r="I50" i="4"/>
  <c r="M46" i="4"/>
  <c r="AB38" i="4"/>
  <c r="Z29" i="4"/>
  <c r="D35" i="4"/>
  <c r="M18" i="4"/>
  <c r="L47" i="4"/>
  <c r="AB54" i="4"/>
  <c r="C51" i="4"/>
  <c r="AJ41" i="4"/>
  <c r="X41" i="4"/>
  <c r="S33" i="4"/>
  <c r="AJ29" i="4"/>
  <c r="F45" i="4"/>
  <c r="M53" i="4"/>
  <c r="J17" i="4"/>
  <c r="F33" i="4"/>
  <c r="O52" i="4"/>
  <c r="F30" i="4"/>
  <c r="L41" i="4"/>
  <c r="AE39" i="4"/>
  <c r="O34" i="4"/>
  <c r="M20" i="4"/>
</calcChain>
</file>

<file path=xl/comments1.xml><?xml version="1.0" encoding="utf-8"?>
<comments xmlns="http://schemas.openxmlformats.org/spreadsheetml/2006/main">
  <authors>
    <author>Chris Albright</author>
  </authors>
  <commentList>
    <comment ref="F3" authorId="0" shapeId="0">
      <text>
        <r>
          <rPr>
            <b/>
            <sz val="8"/>
            <color indexed="81"/>
            <rFont val="Tahoma"/>
            <family val="2"/>
          </rPr>
          <t>Team rating relative to average (0.0), found from SRS (simple rating system)
SRS is the team's average margin of victory plus the average SRS of the teams it plays. This can be found by solving 32 equations in 32 unknowns (one SRS per team)</t>
        </r>
      </text>
    </comment>
    <comment ref="G3" authorId="0" shapeId="0">
      <text>
        <r>
          <rPr>
            <b/>
            <sz val="8"/>
            <color indexed="81"/>
            <rFont val="Tahoma"/>
            <family val="2"/>
          </rPr>
          <t>Team's offensive rating relative to average (0.0), based on SRS</t>
        </r>
        <r>
          <rPr>
            <sz val="8"/>
            <color indexed="81"/>
            <rFont val="Tahoma"/>
            <family val="2"/>
          </rPr>
          <t xml:space="preserve">
</t>
        </r>
      </text>
    </comment>
    <comment ref="H3" authorId="0" shapeId="0">
      <text>
        <r>
          <rPr>
            <b/>
            <sz val="8"/>
            <color indexed="81"/>
            <rFont val="Tahoma"/>
            <family val="2"/>
          </rPr>
          <t>Team's defensive rating relative to average (0.0), based on SRS</t>
        </r>
        <r>
          <rPr>
            <sz val="8"/>
            <color indexed="81"/>
            <rFont val="Tahoma"/>
            <family val="2"/>
          </rPr>
          <t xml:space="preserve">
</t>
        </r>
      </text>
    </comment>
    <comment ref="L3" authorId="0" shapeId="0">
      <text>
        <r>
          <rPr>
            <b/>
            <sz val="8"/>
            <color indexed="81"/>
            <rFont val="Tahoma"/>
            <family val="2"/>
          </rPr>
          <t>Includes 1st downs through penalties, which aren't included in 1st downs passing or rushing</t>
        </r>
        <r>
          <rPr>
            <sz val="8"/>
            <color indexed="81"/>
            <rFont val="Tahoma"/>
            <family val="2"/>
          </rPr>
          <t xml:space="preserve">
</t>
        </r>
      </text>
    </comment>
    <comment ref="T3" authorId="0" shapeId="0">
      <text>
        <r>
          <rPr>
            <b/>
            <sz val="8"/>
            <color indexed="81"/>
            <rFont val="Tahoma"/>
            <family val="2"/>
          </rPr>
          <t>Yards lost due to quarterback sacks</t>
        </r>
        <r>
          <rPr>
            <sz val="8"/>
            <color indexed="81"/>
            <rFont val="Tahoma"/>
            <family val="2"/>
          </rPr>
          <t xml:space="preserve">
</t>
        </r>
      </text>
    </comment>
    <comment ref="AE3" authorId="0" shapeId="0">
      <text>
        <r>
          <rPr>
            <b/>
            <sz val="8"/>
            <color indexed="81"/>
            <rFont val="Tahoma"/>
            <family val="2"/>
          </rPr>
          <t>Field goals attempted from 0 to 39 yards</t>
        </r>
      </text>
    </comment>
    <comment ref="AF3" authorId="0" shapeId="0">
      <text>
        <r>
          <rPr>
            <b/>
            <sz val="8"/>
            <color indexed="81"/>
            <rFont val="Tahoma"/>
            <family val="2"/>
          </rPr>
          <t>Field goals made from 0 to 39 yards</t>
        </r>
        <r>
          <rPr>
            <sz val="8"/>
            <color indexed="81"/>
            <rFont val="Tahoma"/>
            <family val="2"/>
          </rPr>
          <t xml:space="preserve">
</t>
        </r>
      </text>
    </comment>
    <comment ref="AG3" authorId="0" shapeId="0">
      <text>
        <r>
          <rPr>
            <b/>
            <sz val="8"/>
            <color indexed="81"/>
            <rFont val="Tahoma"/>
            <family val="2"/>
          </rPr>
          <t>Field attempted from 40 or more yards</t>
        </r>
        <r>
          <rPr>
            <sz val="8"/>
            <color indexed="81"/>
            <rFont val="Tahoma"/>
            <family val="2"/>
          </rPr>
          <t xml:space="preserve">
</t>
        </r>
      </text>
    </comment>
    <comment ref="AH3" authorId="0" shapeId="0">
      <text>
        <r>
          <rPr>
            <b/>
            <sz val="8"/>
            <color indexed="81"/>
            <rFont val="Tahoma"/>
            <family val="2"/>
          </rPr>
          <t xml:space="preserve">Field made from 40 or more yards
</t>
        </r>
        <r>
          <rPr>
            <sz val="8"/>
            <color indexed="81"/>
            <rFont val="Tahoma"/>
            <family val="2"/>
          </rPr>
          <t xml:space="preserve">
</t>
        </r>
      </text>
    </comment>
    <comment ref="AJ3" authorId="0" shapeId="0">
      <text>
        <r>
          <rPr>
            <b/>
            <sz val="8"/>
            <color indexed="81"/>
            <rFont val="Tahoma"/>
            <family val="2"/>
          </rPr>
          <t>Net of yards returned on runbacks</t>
        </r>
        <r>
          <rPr>
            <sz val="8"/>
            <color indexed="81"/>
            <rFont val="Tahoma"/>
            <family val="2"/>
          </rPr>
          <t xml:space="preserve">
</t>
        </r>
      </text>
    </comment>
    <comment ref="AN3" authorId="0" shapeId="0">
      <text>
        <r>
          <rPr>
            <b/>
            <sz val="8"/>
            <color indexed="81"/>
            <rFont val="Tahoma"/>
            <family val="2"/>
          </rPr>
          <t>Includes 1st downs caused by a defensive penalty, which aren't included in 1st downs passing or rushing allowed</t>
        </r>
        <r>
          <rPr>
            <sz val="8"/>
            <color indexed="81"/>
            <rFont val="Tahoma"/>
            <family val="2"/>
          </rPr>
          <t xml:space="preserve">
</t>
        </r>
      </text>
    </comment>
    <comment ref="AT3" authorId="0" shapeId="0">
      <text>
        <r>
          <rPr>
            <b/>
            <sz val="8"/>
            <color indexed="81"/>
            <rFont val="Tahoma"/>
            <family val="2"/>
          </rPr>
          <t>Sacks of opposing quarterbacks</t>
        </r>
        <r>
          <rPr>
            <sz val="8"/>
            <color indexed="81"/>
            <rFont val="Tahoma"/>
            <family val="2"/>
          </rPr>
          <t xml:space="preserve">
</t>
        </r>
      </text>
    </comment>
    <comment ref="AU3" authorId="0" shapeId="0">
      <text>
        <r>
          <rPr>
            <b/>
            <sz val="8"/>
            <color indexed="81"/>
            <rFont val="Tahoma"/>
            <family val="2"/>
          </rPr>
          <t>Yards lost by opponents due to sacking opposing quarterbacks</t>
        </r>
        <r>
          <rPr>
            <sz val="8"/>
            <color indexed="81"/>
            <rFont val="Tahoma"/>
            <family val="2"/>
          </rPr>
          <t xml:space="preserve">
</t>
        </r>
      </text>
    </comment>
    <comment ref="E17" authorId="0" shapeId="0">
      <text>
        <r>
          <rPr>
            <b/>
            <sz val="8"/>
            <color indexed="81"/>
            <rFont val="Tahoma"/>
            <family val="2"/>
          </rPr>
          <t>Lost in SuperBowl</t>
        </r>
        <r>
          <rPr>
            <sz val="8"/>
            <color indexed="81"/>
            <rFont val="Tahoma"/>
            <family val="2"/>
          </rPr>
          <t xml:space="preserve">
</t>
        </r>
      </text>
    </comment>
    <comment ref="E23" authorId="0" shapeId="0">
      <text>
        <r>
          <rPr>
            <b/>
            <sz val="8"/>
            <color indexed="81"/>
            <rFont val="Tahoma"/>
            <family val="2"/>
          </rPr>
          <t>Won SuperBowl</t>
        </r>
        <r>
          <rPr>
            <sz val="8"/>
            <color indexed="81"/>
            <rFont val="Tahoma"/>
            <family val="2"/>
          </rPr>
          <t xml:space="preserve">
</t>
        </r>
      </text>
    </comment>
    <comment ref="E36" authorId="0" shapeId="0">
      <text>
        <r>
          <rPr>
            <b/>
            <sz val="8"/>
            <color indexed="81"/>
            <rFont val="Tahoma"/>
            <family val="2"/>
          </rPr>
          <t>Lost in SuperBowl</t>
        </r>
        <r>
          <rPr>
            <sz val="8"/>
            <color indexed="81"/>
            <rFont val="Tahoma"/>
            <family val="2"/>
          </rPr>
          <t xml:space="preserve">
</t>
        </r>
      </text>
    </comment>
    <comment ref="E60" authorId="0" shapeId="0">
      <text>
        <r>
          <rPr>
            <b/>
            <sz val="8"/>
            <color indexed="81"/>
            <rFont val="Tahoma"/>
            <family val="2"/>
          </rPr>
          <t>Won SuperBowl</t>
        </r>
        <r>
          <rPr>
            <sz val="8"/>
            <color indexed="81"/>
            <rFont val="Tahoma"/>
            <family val="2"/>
          </rPr>
          <t xml:space="preserve">
</t>
        </r>
      </text>
    </comment>
    <comment ref="E86" authorId="0" shapeId="0">
      <text>
        <r>
          <rPr>
            <b/>
            <sz val="8"/>
            <color indexed="81"/>
            <rFont val="Tahoma"/>
            <family val="2"/>
          </rPr>
          <t>Lost in SuperBowl</t>
        </r>
        <r>
          <rPr>
            <sz val="8"/>
            <color indexed="81"/>
            <rFont val="Tahoma"/>
            <family val="2"/>
          </rPr>
          <t xml:space="preserve">
</t>
        </r>
      </text>
    </comment>
    <comment ref="E88" authorId="0" shapeId="0">
      <text>
        <r>
          <rPr>
            <b/>
            <sz val="8"/>
            <color indexed="81"/>
            <rFont val="Tahoma"/>
            <family val="2"/>
          </rPr>
          <t>Won SuperBowl</t>
        </r>
        <r>
          <rPr>
            <sz val="8"/>
            <color indexed="81"/>
            <rFont val="Tahoma"/>
            <family val="2"/>
          </rPr>
          <t xml:space="preserve">
</t>
        </r>
      </text>
    </comment>
    <comment ref="E105" authorId="0" shapeId="0">
      <text>
        <r>
          <rPr>
            <b/>
            <sz val="8"/>
            <color indexed="81"/>
            <rFont val="Tahoma"/>
            <family val="2"/>
          </rPr>
          <t>Lost in SuperBowl</t>
        </r>
        <r>
          <rPr>
            <sz val="8"/>
            <color indexed="81"/>
            <rFont val="Tahoma"/>
            <family val="2"/>
          </rPr>
          <t xml:space="preserve">
</t>
        </r>
      </text>
    </comment>
    <comment ref="E113" authorId="0" shapeId="0">
      <text>
        <r>
          <rPr>
            <b/>
            <sz val="8"/>
            <color indexed="81"/>
            <rFont val="Tahoma"/>
            <family val="2"/>
          </rPr>
          <t>Won SuperBowl</t>
        </r>
        <r>
          <rPr>
            <sz val="8"/>
            <color indexed="81"/>
            <rFont val="Tahoma"/>
            <family val="2"/>
          </rPr>
          <t xml:space="preserve">
</t>
        </r>
      </text>
    </comment>
    <comment ref="E156" authorId="0" shapeId="0">
      <text>
        <r>
          <rPr>
            <b/>
            <sz val="8"/>
            <color indexed="81"/>
            <rFont val="Tahoma"/>
            <family val="2"/>
          </rPr>
          <t>Won SuperBowl</t>
        </r>
        <r>
          <rPr>
            <sz val="8"/>
            <color indexed="81"/>
            <rFont val="Tahoma"/>
            <family val="2"/>
          </rPr>
          <t xml:space="preserve">
</t>
        </r>
      </text>
    </comment>
    <comment ref="E159" authorId="0" shapeId="0">
      <text>
        <r>
          <rPr>
            <b/>
            <sz val="8"/>
            <color indexed="81"/>
            <rFont val="Tahoma"/>
            <family val="2"/>
          </rPr>
          <t>Lost in SuperBowl</t>
        </r>
        <r>
          <rPr>
            <sz val="8"/>
            <color indexed="81"/>
            <rFont val="Tahoma"/>
            <family val="2"/>
          </rPr>
          <t xml:space="preserve">
</t>
        </r>
      </text>
    </comment>
    <comment ref="E182" authorId="0" shapeId="0">
      <text>
        <r>
          <rPr>
            <b/>
            <sz val="8"/>
            <color indexed="81"/>
            <rFont val="Tahoma"/>
            <family val="2"/>
          </rPr>
          <t>Won SuperBowl</t>
        </r>
        <r>
          <rPr>
            <sz val="8"/>
            <color indexed="81"/>
            <rFont val="Tahoma"/>
            <family val="2"/>
          </rPr>
          <t xml:space="preserve">
</t>
        </r>
      </text>
    </comment>
    <comment ref="E187" authorId="0" shapeId="0">
      <text>
        <r>
          <rPr>
            <b/>
            <sz val="8"/>
            <color indexed="81"/>
            <rFont val="Tahoma"/>
            <family val="2"/>
          </rPr>
          <t>Lost in SuperBowl</t>
        </r>
        <r>
          <rPr>
            <sz val="8"/>
            <color indexed="81"/>
            <rFont val="Tahoma"/>
            <family val="2"/>
          </rPr>
          <t xml:space="preserve">
</t>
        </r>
      </text>
    </comment>
  </commentList>
</comments>
</file>

<file path=xl/comments2.xml><?xml version="1.0" encoding="utf-8"?>
<comments xmlns="http://schemas.openxmlformats.org/spreadsheetml/2006/main">
  <authors>
    <author>Chris Albright</author>
  </authors>
  <commentList>
    <comment ref="F3" authorId="0" shapeId="0">
      <text>
        <r>
          <rPr>
            <b/>
            <sz val="8"/>
            <color indexed="81"/>
            <rFont val="Tahoma"/>
            <family val="2"/>
          </rPr>
          <t>Team rating relative to average (0.0), found from SRS (simple rating system)
SRS is the team's average margin of victory plus the average SRS of the teams it plays. This can be found by solving 32 equations in 32 unknowns (one SRS per team)</t>
        </r>
      </text>
    </comment>
    <comment ref="G3" authorId="0" shapeId="0">
      <text>
        <r>
          <rPr>
            <b/>
            <sz val="8"/>
            <color indexed="81"/>
            <rFont val="Tahoma"/>
            <family val="2"/>
          </rPr>
          <t>Team's offensive rating relative to average (0.0), based on SRS</t>
        </r>
        <r>
          <rPr>
            <sz val="8"/>
            <color indexed="81"/>
            <rFont val="Tahoma"/>
            <family val="2"/>
          </rPr>
          <t xml:space="preserve">
</t>
        </r>
      </text>
    </comment>
    <comment ref="H3" authorId="0" shapeId="0">
      <text>
        <r>
          <rPr>
            <b/>
            <sz val="8"/>
            <color indexed="81"/>
            <rFont val="Tahoma"/>
            <family val="2"/>
          </rPr>
          <t>Team's defensive rating relative to average (0.0), based on SRS</t>
        </r>
        <r>
          <rPr>
            <sz val="8"/>
            <color indexed="81"/>
            <rFont val="Tahoma"/>
            <family val="2"/>
          </rPr>
          <t xml:space="preserve">
</t>
        </r>
      </text>
    </comment>
    <comment ref="L3" authorId="0" shapeId="0">
      <text>
        <r>
          <rPr>
            <b/>
            <sz val="8"/>
            <color indexed="81"/>
            <rFont val="Tahoma"/>
            <family val="2"/>
          </rPr>
          <t>Includes 1st downs through penalties, which aren't included in 1st downs passing or rushing</t>
        </r>
        <r>
          <rPr>
            <sz val="8"/>
            <color indexed="81"/>
            <rFont val="Tahoma"/>
            <family val="2"/>
          </rPr>
          <t xml:space="preserve">
</t>
        </r>
      </text>
    </comment>
    <comment ref="T3" authorId="0" shapeId="0">
      <text>
        <r>
          <rPr>
            <b/>
            <sz val="8"/>
            <color indexed="81"/>
            <rFont val="Tahoma"/>
            <family val="2"/>
          </rPr>
          <t>Yards lost due to quarterback sacks</t>
        </r>
        <r>
          <rPr>
            <sz val="8"/>
            <color indexed="81"/>
            <rFont val="Tahoma"/>
            <family val="2"/>
          </rPr>
          <t xml:space="preserve">
</t>
        </r>
      </text>
    </comment>
    <comment ref="AE3" authorId="0" shapeId="0">
      <text>
        <r>
          <rPr>
            <b/>
            <sz val="8"/>
            <color indexed="81"/>
            <rFont val="Tahoma"/>
            <family val="2"/>
          </rPr>
          <t>Field goals attempted from 0 to 39 yards</t>
        </r>
      </text>
    </comment>
    <comment ref="AF3" authorId="0" shapeId="0">
      <text>
        <r>
          <rPr>
            <b/>
            <sz val="8"/>
            <color indexed="81"/>
            <rFont val="Tahoma"/>
            <family val="2"/>
          </rPr>
          <t>Field goals made from 0 to 39 yards</t>
        </r>
        <r>
          <rPr>
            <sz val="8"/>
            <color indexed="81"/>
            <rFont val="Tahoma"/>
            <family val="2"/>
          </rPr>
          <t xml:space="preserve">
</t>
        </r>
      </text>
    </comment>
    <comment ref="AG3" authorId="0" shapeId="0">
      <text>
        <r>
          <rPr>
            <b/>
            <sz val="8"/>
            <color indexed="81"/>
            <rFont val="Tahoma"/>
            <family val="2"/>
          </rPr>
          <t>Field attempted from 40 or more yards</t>
        </r>
        <r>
          <rPr>
            <sz val="8"/>
            <color indexed="81"/>
            <rFont val="Tahoma"/>
            <family val="2"/>
          </rPr>
          <t xml:space="preserve">
</t>
        </r>
      </text>
    </comment>
    <comment ref="AH3" authorId="0" shapeId="0">
      <text>
        <r>
          <rPr>
            <b/>
            <sz val="8"/>
            <color indexed="81"/>
            <rFont val="Tahoma"/>
            <family val="2"/>
          </rPr>
          <t xml:space="preserve">Field made from 40 or more yards
</t>
        </r>
        <r>
          <rPr>
            <sz val="8"/>
            <color indexed="81"/>
            <rFont val="Tahoma"/>
            <family val="2"/>
          </rPr>
          <t xml:space="preserve">
</t>
        </r>
      </text>
    </comment>
    <comment ref="AJ3" authorId="0" shapeId="0">
      <text>
        <r>
          <rPr>
            <b/>
            <sz val="8"/>
            <color indexed="81"/>
            <rFont val="Tahoma"/>
            <family val="2"/>
          </rPr>
          <t>Net of yards returned on runbacks</t>
        </r>
        <r>
          <rPr>
            <sz val="8"/>
            <color indexed="81"/>
            <rFont val="Tahoma"/>
            <family val="2"/>
          </rPr>
          <t xml:space="preserve">
</t>
        </r>
      </text>
    </comment>
    <comment ref="AN3" authorId="0" shapeId="0">
      <text>
        <r>
          <rPr>
            <b/>
            <sz val="8"/>
            <color indexed="81"/>
            <rFont val="Tahoma"/>
            <family val="2"/>
          </rPr>
          <t>Includes 1st downs caused by a defensive penalty, which aren't included in 1st downs passing or rushing allowed</t>
        </r>
        <r>
          <rPr>
            <sz val="8"/>
            <color indexed="81"/>
            <rFont val="Tahoma"/>
            <family val="2"/>
          </rPr>
          <t xml:space="preserve">
</t>
        </r>
      </text>
    </comment>
    <comment ref="AT3" authorId="0" shapeId="0">
      <text>
        <r>
          <rPr>
            <b/>
            <sz val="8"/>
            <color indexed="81"/>
            <rFont val="Tahoma"/>
            <family val="2"/>
          </rPr>
          <t>Sacks of opposing quarterbacks</t>
        </r>
        <r>
          <rPr>
            <sz val="8"/>
            <color indexed="81"/>
            <rFont val="Tahoma"/>
            <family val="2"/>
          </rPr>
          <t xml:space="preserve">
</t>
        </r>
      </text>
    </comment>
    <comment ref="AU3" authorId="0" shapeId="0">
      <text>
        <r>
          <rPr>
            <b/>
            <sz val="8"/>
            <color indexed="81"/>
            <rFont val="Tahoma"/>
            <family val="2"/>
          </rPr>
          <t>Yards lost by opponents due to sacking opposing quarterbacks</t>
        </r>
        <r>
          <rPr>
            <sz val="8"/>
            <color indexed="81"/>
            <rFont val="Tahoma"/>
            <family val="2"/>
          </rPr>
          <t xml:space="preserve">
</t>
        </r>
      </text>
    </comment>
    <comment ref="E17" authorId="0" shapeId="0">
      <text>
        <r>
          <rPr>
            <b/>
            <sz val="8"/>
            <color indexed="81"/>
            <rFont val="Tahoma"/>
            <family val="2"/>
          </rPr>
          <t>Lost in SuperBowl</t>
        </r>
        <r>
          <rPr>
            <sz val="8"/>
            <color indexed="81"/>
            <rFont val="Tahoma"/>
            <family val="2"/>
          </rPr>
          <t xml:space="preserve">
</t>
        </r>
      </text>
    </comment>
    <comment ref="E23" authorId="0" shapeId="0">
      <text>
        <r>
          <rPr>
            <b/>
            <sz val="8"/>
            <color indexed="81"/>
            <rFont val="Tahoma"/>
            <family val="2"/>
          </rPr>
          <t>Won SuperBowl</t>
        </r>
        <r>
          <rPr>
            <sz val="8"/>
            <color indexed="81"/>
            <rFont val="Tahoma"/>
            <family val="2"/>
          </rPr>
          <t xml:space="preserve">
</t>
        </r>
      </text>
    </comment>
    <comment ref="E36" authorId="0" shapeId="0">
      <text>
        <r>
          <rPr>
            <b/>
            <sz val="8"/>
            <color indexed="81"/>
            <rFont val="Tahoma"/>
            <family val="2"/>
          </rPr>
          <t>Lost in SuperBowl</t>
        </r>
        <r>
          <rPr>
            <sz val="8"/>
            <color indexed="81"/>
            <rFont val="Tahoma"/>
            <family val="2"/>
          </rPr>
          <t xml:space="preserve">
</t>
        </r>
      </text>
    </comment>
    <comment ref="E60" authorId="0" shapeId="0">
      <text>
        <r>
          <rPr>
            <b/>
            <sz val="8"/>
            <color indexed="81"/>
            <rFont val="Tahoma"/>
            <family val="2"/>
          </rPr>
          <t>Won SuperBowl</t>
        </r>
        <r>
          <rPr>
            <sz val="8"/>
            <color indexed="81"/>
            <rFont val="Tahoma"/>
            <family val="2"/>
          </rPr>
          <t xml:space="preserve">
</t>
        </r>
      </text>
    </comment>
    <comment ref="E86" authorId="0" shapeId="0">
      <text>
        <r>
          <rPr>
            <b/>
            <sz val="8"/>
            <color indexed="81"/>
            <rFont val="Tahoma"/>
            <family val="2"/>
          </rPr>
          <t>Lost in SuperBowl</t>
        </r>
        <r>
          <rPr>
            <sz val="8"/>
            <color indexed="81"/>
            <rFont val="Tahoma"/>
            <family val="2"/>
          </rPr>
          <t xml:space="preserve">
</t>
        </r>
      </text>
    </comment>
    <comment ref="E88" authorId="0" shapeId="0">
      <text>
        <r>
          <rPr>
            <b/>
            <sz val="8"/>
            <color indexed="81"/>
            <rFont val="Tahoma"/>
            <family val="2"/>
          </rPr>
          <t>Won SuperBowl</t>
        </r>
        <r>
          <rPr>
            <sz val="8"/>
            <color indexed="81"/>
            <rFont val="Tahoma"/>
            <family val="2"/>
          </rPr>
          <t xml:space="preserve">
</t>
        </r>
      </text>
    </comment>
    <comment ref="E105" authorId="0" shapeId="0">
      <text>
        <r>
          <rPr>
            <b/>
            <sz val="8"/>
            <color indexed="81"/>
            <rFont val="Tahoma"/>
            <family val="2"/>
          </rPr>
          <t>Lost in SuperBowl</t>
        </r>
        <r>
          <rPr>
            <sz val="8"/>
            <color indexed="81"/>
            <rFont val="Tahoma"/>
            <family val="2"/>
          </rPr>
          <t xml:space="preserve">
</t>
        </r>
      </text>
    </comment>
    <comment ref="E113" authorId="0" shapeId="0">
      <text>
        <r>
          <rPr>
            <b/>
            <sz val="8"/>
            <color indexed="81"/>
            <rFont val="Tahoma"/>
            <family val="2"/>
          </rPr>
          <t>Won SuperBowl</t>
        </r>
        <r>
          <rPr>
            <sz val="8"/>
            <color indexed="81"/>
            <rFont val="Tahoma"/>
            <family val="2"/>
          </rPr>
          <t xml:space="preserve">
</t>
        </r>
      </text>
    </comment>
    <comment ref="E156" authorId="0" shapeId="0">
      <text>
        <r>
          <rPr>
            <b/>
            <sz val="8"/>
            <color indexed="81"/>
            <rFont val="Tahoma"/>
            <family val="2"/>
          </rPr>
          <t>Won SuperBowl</t>
        </r>
        <r>
          <rPr>
            <sz val="8"/>
            <color indexed="81"/>
            <rFont val="Tahoma"/>
            <family val="2"/>
          </rPr>
          <t xml:space="preserve">
</t>
        </r>
      </text>
    </comment>
    <comment ref="E159" authorId="0" shapeId="0">
      <text>
        <r>
          <rPr>
            <b/>
            <sz val="8"/>
            <color indexed="81"/>
            <rFont val="Tahoma"/>
            <family val="2"/>
          </rPr>
          <t>Lost in SuperBowl</t>
        </r>
        <r>
          <rPr>
            <sz val="8"/>
            <color indexed="81"/>
            <rFont val="Tahoma"/>
            <family val="2"/>
          </rPr>
          <t xml:space="preserve">
</t>
        </r>
      </text>
    </comment>
    <comment ref="E182" authorId="0" shapeId="0">
      <text>
        <r>
          <rPr>
            <b/>
            <sz val="8"/>
            <color indexed="81"/>
            <rFont val="Tahoma"/>
            <family val="2"/>
          </rPr>
          <t>Won SuperBowl</t>
        </r>
        <r>
          <rPr>
            <sz val="8"/>
            <color indexed="81"/>
            <rFont val="Tahoma"/>
            <family val="2"/>
          </rPr>
          <t xml:space="preserve">
</t>
        </r>
      </text>
    </comment>
    <comment ref="E187" authorId="0" shapeId="0">
      <text>
        <r>
          <rPr>
            <b/>
            <sz val="8"/>
            <color indexed="81"/>
            <rFont val="Tahoma"/>
            <family val="2"/>
          </rPr>
          <t>Lost in SuperBowl</t>
        </r>
        <r>
          <rPr>
            <sz val="8"/>
            <color indexed="81"/>
            <rFont val="Tahoma"/>
            <family val="2"/>
          </rPr>
          <t xml:space="preserve">
</t>
        </r>
      </text>
    </comment>
  </commentList>
</comments>
</file>

<file path=xl/connections.xml><?xml version="1.0" encoding="utf-8"?>
<connections xmlns="http://schemas.openxmlformats.org/spreadsheetml/2006/main">
  <connection id="1" name="Connection" type="4" refreshedVersion="0" deleted="1" background="1" saveData="1">
    <webPr sourceData="1" parsePre="1" consecutive="1" htmlTables="1"/>
  </connection>
</connections>
</file>

<file path=xl/sharedStrings.xml><?xml version="1.0" encoding="utf-8"?>
<sst xmlns="http://schemas.openxmlformats.org/spreadsheetml/2006/main" count="1398" uniqueCount="451">
  <si>
    <t>SRS</t>
  </si>
  <si>
    <t>OSRS</t>
  </si>
  <si>
    <t>DSRS</t>
  </si>
  <si>
    <t>New England Patriots</t>
  </si>
  <si>
    <t>New York Jets</t>
  </si>
  <si>
    <t>Miami Dolphins</t>
  </si>
  <si>
    <t>Buffalo Bills</t>
  </si>
  <si>
    <t>Cincinnati Bengals</t>
  </si>
  <si>
    <t>Baltimore Ravens</t>
  </si>
  <si>
    <t>Pittsburgh Steelers</t>
  </si>
  <si>
    <t>Cleveland Browns</t>
  </si>
  <si>
    <t>Indianapolis Colts</t>
  </si>
  <si>
    <t>Houston Texans</t>
  </si>
  <si>
    <t>Tennessee Titans</t>
  </si>
  <si>
    <t>Jacksonville Jaguars</t>
  </si>
  <si>
    <t>San Diego Chargers</t>
  </si>
  <si>
    <t>Denver Broncos</t>
  </si>
  <si>
    <t>Oakland Raiders</t>
  </si>
  <si>
    <t>Kansas City Chiefs</t>
  </si>
  <si>
    <t>Dallas Cowboys</t>
  </si>
  <si>
    <t>Philadelphia Eagles</t>
  </si>
  <si>
    <t>New York Giants</t>
  </si>
  <si>
    <t>Washington Redskins</t>
  </si>
  <si>
    <t>Minnesota Vikings</t>
  </si>
  <si>
    <t>Green Bay Packers</t>
  </si>
  <si>
    <t>Chicago Bears</t>
  </si>
  <si>
    <t>Detroit Lions</t>
  </si>
  <si>
    <t>New Orleans Saints</t>
  </si>
  <si>
    <t>Atlanta Falcons</t>
  </si>
  <si>
    <t>Carolina Panthers</t>
  </si>
  <si>
    <t>Tampa Bay Buccaneers</t>
  </si>
  <si>
    <t>Arizona Cardinals</t>
  </si>
  <si>
    <t>San Francisco 49ers</t>
  </si>
  <si>
    <t>Seattle Seahawks</t>
  </si>
  <si>
    <t>St. Louis Rams</t>
  </si>
  <si>
    <t>Punt Returns</t>
  </si>
  <si>
    <t>Kick Returns</t>
  </si>
  <si>
    <t>FGA 0-39</t>
  </si>
  <si>
    <t>FGM 0-39</t>
  </si>
  <si>
    <t>FGA 40+</t>
  </si>
  <si>
    <t>FGM 40+</t>
  </si>
  <si>
    <t>Yards</t>
  </si>
  <si>
    <t>Plays</t>
  </si>
  <si>
    <t>1st Downs</t>
  </si>
  <si>
    <t>Completions</t>
  </si>
  <si>
    <t>QB Rating</t>
  </si>
  <si>
    <t>1st Downs Passing</t>
  </si>
  <si>
    <t>Passing Yards</t>
  </si>
  <si>
    <t>Passing TDs</t>
  </si>
  <si>
    <t>Rushing Attempts</t>
  </si>
  <si>
    <t>Pass Attempts</t>
  </si>
  <si>
    <t>Rushing Yards</t>
  </si>
  <si>
    <t>Rushing TDs</t>
  </si>
  <si>
    <t>1st Downs Rushing</t>
  </si>
  <si>
    <t>Fumbles Lost</t>
  </si>
  <si>
    <t>Field Goals</t>
  </si>
  <si>
    <t>Yards Punt Returns</t>
  </si>
  <si>
    <t>Yards Kick Returns</t>
  </si>
  <si>
    <t>Punts</t>
  </si>
  <si>
    <t>Punt Yards</t>
  </si>
  <si>
    <t>Team</t>
  </si>
  <si>
    <t>Team Offense</t>
  </si>
  <si>
    <t>Passing Offense</t>
  </si>
  <si>
    <t>Rushing Offense</t>
  </si>
  <si>
    <t>Points Allowed</t>
  </si>
  <si>
    <t>Points Scored</t>
  </si>
  <si>
    <t>Team Defense</t>
  </si>
  <si>
    <t>Passing Defense</t>
  </si>
  <si>
    <t>Rushing Defense</t>
  </si>
  <si>
    <t>Yards Allowed</t>
  </si>
  <si>
    <t>Plays by Opponent</t>
  </si>
  <si>
    <t>1st Downs Allowed</t>
  </si>
  <si>
    <t>Completions Allowed</t>
  </si>
  <si>
    <t>Passing Attempts by Opponents</t>
  </si>
  <si>
    <t>Passing Yards Allowed</t>
  </si>
  <si>
    <t>Passing TDs Allowed</t>
  </si>
  <si>
    <t>Passes Intercepted</t>
  </si>
  <si>
    <t>1st Downs Passing Allowed</t>
  </si>
  <si>
    <t>Rushing Attemps by Opponents</t>
  </si>
  <si>
    <t>Rushing Yards Allowed</t>
  </si>
  <si>
    <t>Rushing TDs Allowed</t>
  </si>
  <si>
    <t>1st Downs Rushing Allowed</t>
  </si>
  <si>
    <t>Fumbles Recovered</t>
  </si>
  <si>
    <t>Wins</t>
  </si>
  <si>
    <t>Losses</t>
  </si>
  <si>
    <t>Interceptions Thrown</t>
  </si>
  <si>
    <t>Sacks Against</t>
  </si>
  <si>
    <t>Sack yards Against</t>
  </si>
  <si>
    <t>Sacks Caused</t>
  </si>
  <si>
    <t>Sack Yards Caused</t>
  </si>
  <si>
    <t>Turnovers Caused</t>
  </si>
  <si>
    <t>Turnovers Against</t>
  </si>
  <si>
    <t>Year</t>
  </si>
  <si>
    <t>NFL Team Stats</t>
  </si>
  <si>
    <t>Overall</t>
  </si>
  <si>
    <t>Playoff Team</t>
  </si>
  <si>
    <t>No</t>
  </si>
  <si>
    <t>Yes</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</si>
  <si>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</si>
  <si>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</si>
  <si>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</si>
  <si>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</si>
  <si>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</si>
  <si>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</si>
  <si>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</si>
  <si>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</si>
  <si>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</si>
  <si>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</si>
  <si>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</si>
  <si>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</si>
  <si>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DG2A60D2EA</t>
  </si>
  <si>
    <t>Format Range</t>
  </si>
  <si>
    <t>Variable Layout</t>
  </si>
  <si>
    <t>Columns</t>
  </si>
  <si>
    <t>Variable Names In Cells</t>
  </si>
  <si>
    <t>Variable Names In 2nd Cells</t>
  </si>
  <si>
    <t>Data Set Ranges</t>
  </si>
  <si>
    <t>Data Sheet Format</t>
  </si>
  <si>
    <t>Formula Eval Cell</t>
  </si>
  <si>
    <t>Num Stored Vars</t>
  </si>
  <si>
    <t>1 : Info</t>
  </si>
  <si>
    <t>VG1D17F4EB6D9D02D</t>
  </si>
  <si>
    <t>var1</t>
  </si>
  <si>
    <t>ST_Team</t>
  </si>
  <si>
    <t>1 : Ranges</t>
  </si>
  <si>
    <t>1 : MultiRefs</t>
  </si>
  <si>
    <t>2 : Info</t>
  </si>
  <si>
    <t>VG20A058732CA15FD8</t>
  </si>
  <si>
    <t>var2</t>
  </si>
  <si>
    <t>ST_Year</t>
  </si>
  <si>
    <t>2 : Ranges</t>
  </si>
  <si>
    <t>2 : MultiRefs</t>
  </si>
  <si>
    <t>3 : Info</t>
  </si>
  <si>
    <t>VG1405FBE737E7645F</t>
  </si>
  <si>
    <t>var3</t>
  </si>
  <si>
    <t>ST_Wins</t>
  </si>
  <si>
    <t>3 : Ranges</t>
  </si>
  <si>
    <t>3 : MultiRefs</t>
  </si>
  <si>
    <t>4 : Info</t>
  </si>
  <si>
    <t>VGDA7B0EB1DE7BBC7</t>
  </si>
  <si>
    <t>var4</t>
  </si>
  <si>
    <t>ST_Losses</t>
  </si>
  <si>
    <t>4 : Ranges</t>
  </si>
  <si>
    <t>4 : MultiRefs</t>
  </si>
  <si>
    <t>5 : Info</t>
  </si>
  <si>
    <t>VG37994297317BFD5E</t>
  </si>
  <si>
    <t>var5</t>
  </si>
  <si>
    <t>ST_PlayoffTeam</t>
  </si>
  <si>
    <t>5 : Ranges</t>
  </si>
  <si>
    <t>5 : MultiRefs</t>
  </si>
  <si>
    <t>6 : Info</t>
  </si>
  <si>
    <t>VG2CEB433D22353361</t>
  </si>
  <si>
    <t>var6</t>
  </si>
  <si>
    <t>ST_SRS</t>
  </si>
  <si>
    <t>6 : Ranges</t>
  </si>
  <si>
    <t>6 : MultiRefs</t>
  </si>
  <si>
    <t>7 : Info</t>
  </si>
  <si>
    <t>VG1BA2A9332DE1984</t>
  </si>
  <si>
    <t>var7</t>
  </si>
  <si>
    <t>ST_OSRS</t>
  </si>
  <si>
    <t>7 : Ranges</t>
  </si>
  <si>
    <t>7 : MultiRefs</t>
  </si>
  <si>
    <t>8 : Info</t>
  </si>
  <si>
    <t>VG3B86D4FF89E4807</t>
  </si>
  <si>
    <t>var8</t>
  </si>
  <si>
    <t>ST_DSRS</t>
  </si>
  <si>
    <t>8 : Ranges</t>
  </si>
  <si>
    <t>8 : MultiRefs</t>
  </si>
  <si>
    <t>9 : Info</t>
  </si>
  <si>
    <t>VG26B24162EA7BF5C</t>
  </si>
  <si>
    <t>var9</t>
  </si>
  <si>
    <t>ST_PointsScored</t>
  </si>
  <si>
    <t>9 : Ranges</t>
  </si>
  <si>
    <t>9 : MultiRefs</t>
  </si>
  <si>
    <t>10 : Info</t>
  </si>
  <si>
    <t>VG1295A12A3AA442ED</t>
  </si>
  <si>
    <t>var10</t>
  </si>
  <si>
    <t>ST_Yards</t>
  </si>
  <si>
    <t>10 : Ranges</t>
  </si>
  <si>
    <t>10 : MultiRefs</t>
  </si>
  <si>
    <t>11 : Info</t>
  </si>
  <si>
    <t>VG2BA50FF21936A11</t>
  </si>
  <si>
    <t>var11</t>
  </si>
  <si>
    <t>ST_Plays</t>
  </si>
  <si>
    <t>11 : Ranges</t>
  </si>
  <si>
    <t>11 : MultiRefs</t>
  </si>
  <si>
    <t>12 : Info</t>
  </si>
  <si>
    <t>VG5429EDF2ACECCCB</t>
  </si>
  <si>
    <t>var12</t>
  </si>
  <si>
    <t>ST_1stDowns</t>
  </si>
  <si>
    <t>12 : Ranges</t>
  </si>
  <si>
    <t>12 : MultiRefs</t>
  </si>
  <si>
    <t>13 : Info</t>
  </si>
  <si>
    <t>VG35BC7EE7423C452</t>
  </si>
  <si>
    <t>var13</t>
  </si>
  <si>
    <t>ST_Completions</t>
  </si>
  <si>
    <t>13 : Ranges</t>
  </si>
  <si>
    <t>13 : MultiRefs</t>
  </si>
  <si>
    <t>14 : Info</t>
  </si>
  <si>
    <t>VG23B988B614A34401</t>
  </si>
  <si>
    <t>var14</t>
  </si>
  <si>
    <t>ST_PassAttempts</t>
  </si>
  <si>
    <t>14 : Ranges</t>
  </si>
  <si>
    <t>14 : MultiRefs</t>
  </si>
  <si>
    <t>15 : Info</t>
  </si>
  <si>
    <t>VG2EAFC19B16738DB8</t>
  </si>
  <si>
    <t>var15</t>
  </si>
  <si>
    <t>ST_PassingYards</t>
  </si>
  <si>
    <t>15 : Ranges</t>
  </si>
  <si>
    <t>15 : MultiRefs</t>
  </si>
  <si>
    <t>16 : Info</t>
  </si>
  <si>
    <t>VG4342A7D414D3D</t>
  </si>
  <si>
    <t>var16</t>
  </si>
  <si>
    <t>ST_PassingTDs</t>
  </si>
  <si>
    <t>16 : Ranges</t>
  </si>
  <si>
    <t>16 : MultiRefs</t>
  </si>
  <si>
    <t>17 : Info</t>
  </si>
  <si>
    <t>VG325706AC140FF0B3</t>
  </si>
  <si>
    <t>var17</t>
  </si>
  <si>
    <t>ST_1stDownsPassing</t>
  </si>
  <si>
    <t>17 : Ranges</t>
  </si>
  <si>
    <t>17 : MultiRefs</t>
  </si>
  <si>
    <t>18 : Info</t>
  </si>
  <si>
    <t>VG8F1D883A86D2AA</t>
  </si>
  <si>
    <t>var18</t>
  </si>
  <si>
    <t>ST_QBRating</t>
  </si>
  <si>
    <t>18 : Ranges</t>
  </si>
  <si>
    <t>18 : MultiRefs</t>
  </si>
  <si>
    <t>19 : Info</t>
  </si>
  <si>
    <t>VG2E6FFF3FAC56EEE</t>
  </si>
  <si>
    <t>var19</t>
  </si>
  <si>
    <t>ST_SacksAgainst</t>
  </si>
  <si>
    <t>19 : Ranges</t>
  </si>
  <si>
    <t>19 : MultiRefs</t>
  </si>
  <si>
    <t>20 : Info</t>
  </si>
  <si>
    <t>VG2EB953743ADF2F8F</t>
  </si>
  <si>
    <t>var20</t>
  </si>
  <si>
    <t>ST_SackyardsAgainst</t>
  </si>
  <si>
    <t>20 : Ranges</t>
  </si>
  <si>
    <t>20 : MultiRefs</t>
  </si>
  <si>
    <t>21 : Info</t>
  </si>
  <si>
    <t>VG1695B1B364D8E3A</t>
  </si>
  <si>
    <t>var21</t>
  </si>
  <si>
    <t>ST_RushingAttempts</t>
  </si>
  <si>
    <t>21 : Ranges</t>
  </si>
  <si>
    <t>21 : MultiRefs</t>
  </si>
  <si>
    <t>22 : Info</t>
  </si>
  <si>
    <t>VG1ADAB16F279FBC7E</t>
  </si>
  <si>
    <t>var22</t>
  </si>
  <si>
    <t>ST_RushingYards</t>
  </si>
  <si>
    <t>22 : Ranges</t>
  </si>
  <si>
    <t>22 : MultiRefs</t>
  </si>
  <si>
    <t>23 : Info</t>
  </si>
  <si>
    <t>VGC9A802C3812D9F4</t>
  </si>
  <si>
    <t>var23</t>
  </si>
  <si>
    <t>ST_RushingTDs</t>
  </si>
  <si>
    <t>23 : Ranges</t>
  </si>
  <si>
    <t>23 : MultiRefs</t>
  </si>
  <si>
    <t>24 : Info</t>
  </si>
  <si>
    <t>VG319CE404153F29F8</t>
  </si>
  <si>
    <t>var24</t>
  </si>
  <si>
    <t>ST_1stDownsRushing</t>
  </si>
  <si>
    <t>24 : Ranges</t>
  </si>
  <si>
    <t>24 : MultiRefs</t>
  </si>
  <si>
    <t>25 : Info</t>
  </si>
  <si>
    <t>VG34266E8A3AB1E6EB</t>
  </si>
  <si>
    <t>var25</t>
  </si>
  <si>
    <t>ST_InterceptionsThrown</t>
  </si>
  <si>
    <t>25 : Ranges</t>
  </si>
  <si>
    <t>25 : MultiRefs</t>
  </si>
  <si>
    <t>26 : Info</t>
  </si>
  <si>
    <t>VG327EA361743EB99</t>
  </si>
  <si>
    <t>var26</t>
  </si>
  <si>
    <t>ST_FumblesLost</t>
  </si>
  <si>
    <t>26 : Ranges</t>
  </si>
  <si>
    <t>26 : MultiRefs</t>
  </si>
  <si>
    <t>27 : Info</t>
  </si>
  <si>
    <t>VG17CB4908BEFEFCF</t>
  </si>
  <si>
    <t>var27</t>
  </si>
  <si>
    <t>ST_PuntReturns</t>
  </si>
  <si>
    <t>27 : Ranges</t>
  </si>
  <si>
    <t>27 : MultiRefs</t>
  </si>
  <si>
    <t>28 : Info</t>
  </si>
  <si>
    <t>VG5198E1A1955BB</t>
  </si>
  <si>
    <t>var28</t>
  </si>
  <si>
    <t>ST_YardsPuntReturns</t>
  </si>
  <si>
    <t>28 : Ranges</t>
  </si>
  <si>
    <t>28 : MultiRefs</t>
  </si>
  <si>
    <t>29 : Info</t>
  </si>
  <si>
    <t>VGD68EE35226E7412</t>
  </si>
  <si>
    <t>var29</t>
  </si>
  <si>
    <t>ST_KickReturns</t>
  </si>
  <si>
    <t>29 : Ranges</t>
  </si>
  <si>
    <t>29 : MultiRefs</t>
  </si>
  <si>
    <t>30 : Info</t>
  </si>
  <si>
    <t>VG2619227B1FCB6DA2</t>
  </si>
  <si>
    <t>var30</t>
  </si>
  <si>
    <t>ST_YardsKickReturns</t>
  </si>
  <si>
    <t>30 : Ranges</t>
  </si>
  <si>
    <t>30 : MultiRefs</t>
  </si>
  <si>
    <t>31 : Info</t>
  </si>
  <si>
    <t>VG11FD29E6229EDB51</t>
  </si>
  <si>
    <t>var31</t>
  </si>
  <si>
    <t>ST_FGA039</t>
  </si>
  <si>
    <t>31 : Ranges</t>
  </si>
  <si>
    <t>31 : MultiRefs</t>
  </si>
  <si>
    <t>32 : Info</t>
  </si>
  <si>
    <t>VGAA750471ED90E21</t>
  </si>
  <si>
    <t>var32</t>
  </si>
  <si>
    <t>ST_FGM039</t>
  </si>
  <si>
    <t>32 : Ranges</t>
  </si>
  <si>
    <t>32 : MultiRefs</t>
  </si>
  <si>
    <t>33 : Info</t>
  </si>
  <si>
    <t>VG2F2755402437940</t>
  </si>
  <si>
    <t>var33</t>
  </si>
  <si>
    <t>ST_FGA40</t>
  </si>
  <si>
    <t>33 : Ranges</t>
  </si>
  <si>
    <t>33 : MultiRefs</t>
  </si>
  <si>
    <t>34 : Info</t>
  </si>
  <si>
    <t>VG10D193051F2B0C4</t>
  </si>
  <si>
    <t>var34</t>
  </si>
  <si>
    <t>ST_FGM40</t>
  </si>
  <si>
    <t>34 : Ranges</t>
  </si>
  <si>
    <t>34 : MultiRefs</t>
  </si>
  <si>
    <t>35 : Info</t>
  </si>
  <si>
    <t>VG127813D10D1520F</t>
  </si>
  <si>
    <t>var35</t>
  </si>
  <si>
    <t>ST_Punts</t>
  </si>
  <si>
    <t>35 : Ranges</t>
  </si>
  <si>
    <t>35 : MultiRefs</t>
  </si>
  <si>
    <t>36 : Info</t>
  </si>
  <si>
    <t>VGC2E8C529CF8B7A</t>
  </si>
  <si>
    <t>var36</t>
  </si>
  <si>
    <t>ST_PuntYards</t>
  </si>
  <si>
    <t>36 : Ranges</t>
  </si>
  <si>
    <t>36 : MultiRefs</t>
  </si>
  <si>
    <t>37 : Info</t>
  </si>
  <si>
    <t>VG289AA3B6204D6952</t>
  </si>
  <si>
    <t>var37</t>
  </si>
  <si>
    <t>ST_PointsAllowed</t>
  </si>
  <si>
    <t>37 : Ranges</t>
  </si>
  <si>
    <t>37 : MultiRefs</t>
  </si>
  <si>
    <t>38 : Info</t>
  </si>
  <si>
    <t>VG2C8B296CC48A4B7</t>
  </si>
  <si>
    <t>var38</t>
  </si>
  <si>
    <t>ST_YardsAllowed</t>
  </si>
  <si>
    <t>38 : Ranges</t>
  </si>
  <si>
    <t>38 : MultiRefs</t>
  </si>
  <si>
    <t>39 : Info</t>
  </si>
  <si>
    <t>VG1170D6ED22B17F6A</t>
  </si>
  <si>
    <t>var39</t>
  </si>
  <si>
    <t>ST_PlaysbyOpponent</t>
  </si>
  <si>
    <t>39 : Ranges</t>
  </si>
  <si>
    <t>39 : MultiRefs</t>
  </si>
  <si>
    <t>40 : Info</t>
  </si>
  <si>
    <t>VGF266277336DC21</t>
  </si>
  <si>
    <t>var40</t>
  </si>
  <si>
    <t>ST_1stDownsAllowed</t>
  </si>
  <si>
    <t>40 : Ranges</t>
  </si>
  <si>
    <t>40 : MultiRefs</t>
  </si>
  <si>
    <t>41 : Info</t>
  </si>
  <si>
    <t>VG3547498E2367236B</t>
  </si>
  <si>
    <t>var41</t>
  </si>
  <si>
    <t>ST_CompletionsAllowed</t>
  </si>
  <si>
    <t>41 : Ranges</t>
  </si>
  <si>
    <t>41 : MultiRefs</t>
  </si>
  <si>
    <t>42 : Info</t>
  </si>
  <si>
    <t>VG1472747235B63B6</t>
  </si>
  <si>
    <t>var42</t>
  </si>
  <si>
    <t>ST_PassingAttemptsbyOpponents</t>
  </si>
  <si>
    <t>42 : Ranges</t>
  </si>
  <si>
    <t>42 : MultiRefs</t>
  </si>
  <si>
    <t>43 : Info</t>
  </si>
  <si>
    <t>VG2BE33E140EAD88</t>
  </si>
  <si>
    <t>var43</t>
  </si>
  <si>
    <t>ST_PassingYardsAllowed</t>
  </si>
  <si>
    <t>43 : Ranges</t>
  </si>
  <si>
    <t>43 : MultiRefs</t>
  </si>
  <si>
    <t>44 : Info</t>
  </si>
  <si>
    <t>VG31C61BE7109A1376</t>
  </si>
  <si>
    <t>var44</t>
  </si>
  <si>
    <t>ST_PassingTDsAllowed</t>
  </si>
  <si>
    <t>44 : Ranges</t>
  </si>
  <si>
    <t>44 : MultiRefs</t>
  </si>
  <si>
    <t>45 : Info</t>
  </si>
  <si>
    <t>VG30C499A11F627FF6</t>
  </si>
  <si>
    <t>var45</t>
  </si>
  <si>
    <t>ST_1stDownsPassingAllowed</t>
  </si>
  <si>
    <t>45 : Ranges</t>
  </si>
  <si>
    <t>45 : MultiRefs</t>
  </si>
  <si>
    <t>46 : Info</t>
  </si>
  <si>
    <t>VG242DC654B206187</t>
  </si>
  <si>
    <t>var46</t>
  </si>
  <si>
    <t>ST_SacksCaused</t>
  </si>
  <si>
    <t>46 : Ranges</t>
  </si>
  <si>
    <t>46 : MultiRefs</t>
  </si>
  <si>
    <t>47 : Info</t>
  </si>
  <si>
    <t>VG28101BE11C95D258</t>
  </si>
  <si>
    <t>var47</t>
  </si>
  <si>
    <t>ST_SackYardsCaused</t>
  </si>
  <si>
    <t>47 : Ranges</t>
  </si>
  <si>
    <t>47 : MultiRefs</t>
  </si>
  <si>
    <t>48 : Info</t>
  </si>
  <si>
    <t>VG1B0362472E9CBCE3</t>
  </si>
  <si>
    <t>var48</t>
  </si>
  <si>
    <t>ST_RushingAttempsbyOpponents</t>
  </si>
  <si>
    <t>48 : Ranges</t>
  </si>
  <si>
    <t>48 : MultiRefs</t>
  </si>
  <si>
    <t>49 : Info</t>
  </si>
  <si>
    <t>VG2BBFC2B6557A6</t>
  </si>
  <si>
    <t>var49</t>
  </si>
  <si>
    <t>ST_RushingYardsAllowed</t>
  </si>
  <si>
    <t>49 : Ranges</t>
  </si>
  <si>
    <t>49 : MultiRefs</t>
  </si>
  <si>
    <t>50 : Info</t>
  </si>
  <si>
    <t>VG14FB97937922E78</t>
  </si>
  <si>
    <t>var50</t>
  </si>
  <si>
    <t>ST_RushingTDsAllowed</t>
  </si>
  <si>
    <t>50 : Ranges</t>
  </si>
  <si>
    <t>50 : MultiRefs</t>
  </si>
  <si>
    <t>51 : Info</t>
  </si>
  <si>
    <t>VG39665CEF1F33CC92</t>
  </si>
  <si>
    <t>var51</t>
  </si>
  <si>
    <t>ST_1stDownsRushingAllowed</t>
  </si>
  <si>
    <t>51 : Ranges</t>
  </si>
  <si>
    <t>51 : MultiRefs</t>
  </si>
  <si>
    <t>52 : Info</t>
  </si>
  <si>
    <t>VG44A3471A630AD8</t>
  </si>
  <si>
    <t>var52</t>
  </si>
  <si>
    <t>ST_PassesIntercepted</t>
  </si>
  <si>
    <t>52 : Ranges</t>
  </si>
  <si>
    <t>52 : MultiRefs</t>
  </si>
  <si>
    <t>53 : Info</t>
  </si>
  <si>
    <t>VG1293A0781E0C7C76</t>
  </si>
  <si>
    <t>var53</t>
  </si>
  <si>
    <t>ST_FumblesRecovered</t>
  </si>
  <si>
    <t>53 : Ranges</t>
  </si>
  <si>
    <t>53 : MultiRefs</t>
  </si>
  <si>
    <t>StatTools</t>
  </si>
  <si>
    <t>(Core Analysis Pack)</t>
  </si>
  <si>
    <t>Analysis:</t>
  </si>
  <si>
    <t>Correlation and Covariance</t>
  </si>
  <si>
    <t>Performed By:</t>
  </si>
  <si>
    <t xml:space="preserve"> Chris Albright</t>
  </si>
  <si>
    <t>Date:</t>
  </si>
  <si>
    <t>Updating:</t>
  </si>
  <si>
    <t>Live</t>
  </si>
  <si>
    <t>Correlation Table</t>
  </si>
  <si>
    <t>Count of Playoff Team</t>
  </si>
  <si>
    <t>Grand Total</t>
  </si>
  <si>
    <t>Wednesday, February 08,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</si>
</sst>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9" x14ac:knownFonts="1">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
      <sz val="1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1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rgb="FF000000"/>
      </bottom>
      <diagonal/>
    </border>
    <border>
      <left/>
      <right/>
      <top/>
      <bottom style="double">
        <color rgb="FF000000"/>
      </bottom>
      <diagonal/>
    </border>
  </borders>
  <cellStyleXfs count="1">
    <xf numFmtId="0" fontId="0" fillId="0" borderId="0"/>
  </cellStyleXfs>
  <cellXfs count="80">
    <xf numFmtId="0" fontId="0" fillId="0" borderId="0" xfId="0"/>
    <xf numFmtId="0" fontId="1" fillId="0" borderId="0" xfId="0" applyFont="1" applyFill="1"/>
    <xf numFmtId="0" fontId="0" fillId="0" borderId="0" xfId="0" applyFill="1"/>
    <xf numFmtId="0" fontId="0" fillId="0" borderId="0" xfId="0" applyFill="1" applyBorder="1"/>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8" xfId="0" applyFill="1" applyBorder="1"/>
    <xf numFmtId="0" fontId="0" fillId="0" borderId="7" xfId="0" applyFill="1" applyBorder="1"/>
    <xf numFmtId="0" fontId="0" fillId="0" borderId="2" xfId="0" applyFill="1" applyBorder="1"/>
    <xf numFmtId="0" fontId="0" fillId="0" borderId="1" xfId="0" applyFill="1" applyBorder="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4" fillId="0" borderId="2" xfId="0" applyFont="1" applyBorder="1"/>
    <xf numFmtId="0" fontId="4" fillId="0" borderId="4" xfId="0" applyFont="1" applyBorder="1"/>
    <xf numFmtId="0" fontId="4" fillId="0" borderId="6" xfId="0" applyFont="1" applyBorder="1"/>
    <xf numFmtId="0" fontId="4" fillId="0" borderId="1" xfId="0" applyFont="1" applyBorder="1"/>
    <xf numFmtId="0" fontId="4" fillId="0" borderId="3" xfId="0" applyFont="1" applyBorder="1"/>
    <xf numFmtId="0" fontId="4" fillId="0" borderId="5" xfId="0" applyFont="1" applyBorder="1"/>
    <xf numFmtId="0" fontId="4" fillId="0" borderId="7" xfId="0" applyFont="1" applyBorder="1"/>
    <xf numFmtId="0" fontId="4" fillId="0" borderId="0" xfId="0" applyFont="1" applyBorder="1"/>
    <xf numFmtId="0" fontId="4" fillId="0" borderId="8" xfId="0" applyFont="1" applyBorder="1"/>
    <xf numFmtId="0" fontId="4" fillId="0" borderId="0" xfId="0" applyNumberFormat="1" applyFont="1"/>
    <xf numFmtId="0" fontId="4" fillId="0" borderId="1" xfId="0" applyNumberFormat="1" applyFont="1" applyBorder="1"/>
    <xf numFmtId="0" fontId="4" fillId="0" borderId="2" xfId="0" applyNumberFormat="1" applyFont="1" applyBorder="1"/>
    <xf numFmtId="0" fontId="4" fillId="0" borderId="3" xfId="0" applyNumberFormat="1" applyFont="1" applyBorder="1"/>
    <xf numFmtId="0" fontId="4" fillId="0" borderId="4" xfId="0" applyNumberFormat="1" applyFont="1" applyBorder="1"/>
    <xf numFmtId="0" fontId="4" fillId="0" borderId="5" xfId="0" applyNumberFormat="1" applyFont="1" applyBorder="1"/>
    <xf numFmtId="0" fontId="4" fillId="0" borderId="6" xfId="0" applyNumberFormat="1" applyFont="1" applyBorder="1"/>
    <xf numFmtId="0" fontId="1" fillId="0" borderId="0" xfId="0" applyFont="1" applyFill="1" applyAlignment="1">
      <alignment horizontal="center"/>
    </xf>
    <xf numFmtId="0" fontId="0" fillId="0" borderId="0" xfId="0" applyFill="1" applyAlignment="1">
      <alignment horizontal="center"/>
    </xf>
    <xf numFmtId="0" fontId="0" fillId="0" borderId="7" xfId="0" applyFill="1" applyBorder="1" applyAlignment="1">
      <alignment horizontal="center"/>
    </xf>
    <xf numFmtId="0" fontId="0" fillId="0" borderId="0" xfId="0" applyFill="1" applyBorder="1" applyAlignment="1">
      <alignment horizontal="center"/>
    </xf>
    <xf numFmtId="0" fontId="0" fillId="0" borderId="8" xfId="0" applyFill="1" applyBorder="1" applyAlignment="1">
      <alignment horizontal="center"/>
    </xf>
    <xf numFmtId="0" fontId="1" fillId="0" borderId="9" xfId="0" applyFont="1" applyFill="1" applyBorder="1"/>
    <xf numFmtId="0" fontId="1" fillId="0" borderId="1" xfId="0" applyFont="1" applyFill="1" applyBorder="1" applyAlignment="1">
      <alignment horizontal="right"/>
    </xf>
    <xf numFmtId="0" fontId="1" fillId="0" borderId="7" xfId="0" applyFont="1" applyFill="1" applyBorder="1" applyAlignment="1">
      <alignment horizontal="right"/>
    </xf>
    <xf numFmtId="0" fontId="1" fillId="0" borderId="2" xfId="0" applyFont="1" applyFill="1" applyBorder="1" applyAlignment="1">
      <alignment horizontal="right"/>
    </xf>
    <xf numFmtId="0" fontId="1" fillId="0" borderId="7" xfId="0" applyFont="1" applyFill="1" applyBorder="1"/>
    <xf numFmtId="0" fontId="1" fillId="0" borderId="2" xfId="0" applyFont="1" applyFill="1" applyBorder="1"/>
    <xf numFmtId="0" fontId="1" fillId="0" borderId="1" xfId="0" applyFont="1" applyFill="1" applyBorder="1"/>
    <xf numFmtId="0" fontId="0" fillId="0" borderId="0" xfId="0" applyAlignment="1">
      <alignment horizontal="left"/>
    </xf>
    <xf numFmtId="0" fontId="1" fillId="0" borderId="0" xfId="0" applyFont="1" applyAlignment="1">
      <alignment horizontal="left"/>
    </xf>
    <xf numFmtId="0" fontId="5" fillId="2" borderId="0" xfId="0" applyFont="1" applyFill="1"/>
    <xf numFmtId="0" fontId="5" fillId="2" borderId="11" xfId="0" applyFont="1" applyFill="1" applyBorder="1"/>
    <xf numFmtId="0" fontId="7" fillId="2" borderId="0" xfId="0" applyFont="1" applyFill="1" applyAlignment="1">
      <alignment horizontal="right"/>
    </xf>
    <xf numFmtId="0" fontId="6" fillId="2" borderId="0" xfId="0" applyFont="1" applyFill="1" applyAlignment="1">
      <alignment horizontal="right"/>
    </xf>
    <xf numFmtId="0" fontId="6" fillId="2" borderId="11" xfId="0" applyFont="1" applyFill="1" applyBorder="1" applyAlignment="1">
      <alignment horizontal="right"/>
    </xf>
    <xf numFmtId="0" fontId="5" fillId="2" borderId="0" xfId="0" applyFont="1" applyFill="1" applyAlignment="1">
      <alignment horizontal="left"/>
    </xf>
    <xf numFmtId="0" fontId="5" fillId="2" borderId="11" xfId="0" applyFont="1" applyFill="1" applyBorder="1" applyAlignment="1">
      <alignment horizontal="left"/>
    </xf>
    <xf numFmtId="49" fontId="6" fillId="0" borderId="0" xfId="0" applyNumberFormat="1" applyFont="1" applyAlignment="1">
      <alignment horizontal="center"/>
    </xf>
    <xf numFmtId="49" fontId="6" fillId="0" borderId="12" xfId="0" applyNumberFormat="1" applyFont="1" applyFill="1" applyBorder="1" applyAlignment="1">
      <alignment horizontal="center"/>
    </xf>
    <xf numFmtId="49" fontId="6" fillId="0" borderId="0" xfId="0" applyNumberFormat="1" applyFont="1" applyAlignment="1">
      <alignment horizontal="left"/>
    </xf>
    <xf numFmtId="49" fontId="8" fillId="0" borderId="0" xfId="0" applyNumberFormat="1" applyFont="1" applyAlignment="1">
      <alignment horizontal="left"/>
    </xf>
    <xf numFmtId="49" fontId="8" fillId="0" borderId="12" xfId="0" applyNumberFormat="1" applyFont="1" applyFill="1" applyBorder="1" applyAlignment="1">
      <alignment horizontal="left"/>
    </xf>
    <xf numFmtId="164" fontId="0" fillId="0" borderId="0" xfId="0" applyNumberFormat="1" applyAlignment="1">
      <alignment horizontal="center"/>
    </xf>
    <xf numFmtId="0" fontId="0" fillId="0" borderId="0" xfId="0" pivotButton="1"/>
    <xf numFmtId="10" fontId="0" fillId="0" borderId="0" xfId="0" applyNumberFormat="1"/>
    <xf numFmtId="164" fontId="0" fillId="3" borderId="0" xfId="0" applyNumberFormat="1" applyFill="1" applyAlignment="1">
      <alignment horizontal="center"/>
    </xf>
    <xf numFmtId="0" fontId="1" fillId="0" borderId="0" xfId="0" applyFont="1" applyFill="1" applyAlignment="1">
      <alignment horizontal="left"/>
    </xf>
    <xf numFmtId="0" fontId="0" fillId="0" borderId="0" xfId="0" applyFill="1" applyAlignment="1">
      <alignment horizontal="left"/>
    </xf>
    <xf numFmtId="0" fontId="1" fillId="0" borderId="7" xfId="0" applyFont="1" applyFill="1" applyBorder="1" applyAlignment="1">
      <alignment horizontal="left"/>
    </xf>
    <xf numFmtId="0" fontId="0" fillId="0" borderId="7" xfId="0" applyFill="1" applyBorder="1" applyAlignment="1">
      <alignment horizontal="left"/>
    </xf>
    <xf numFmtId="0" fontId="0" fillId="0" borderId="0" xfId="0" applyFill="1" applyBorder="1" applyAlignment="1">
      <alignment horizontal="left"/>
    </xf>
    <xf numFmtId="0" fontId="0" fillId="0" borderId="8" xfId="0" applyFill="1" applyBorder="1" applyAlignment="1">
      <alignment horizontal="left"/>
    </xf>
    <xf numFmtId="0" fontId="0" fillId="0" borderId="7" xfId="0" applyBorder="1" applyAlignment="1">
      <alignment horizontal="left"/>
    </xf>
    <xf numFmtId="0" fontId="0" fillId="0" borderId="0" xfId="0" applyBorder="1" applyAlignment="1">
      <alignment horizontal="left"/>
    </xf>
    <xf numFmtId="0" fontId="0" fillId="0" borderId="8" xfId="0" applyBorder="1" applyAlignment="1">
      <alignment horizontal="left"/>
    </xf>
    <xf numFmtId="0" fontId="4" fillId="0" borderId="7" xfId="0" applyFont="1" applyBorder="1" applyAlignment="1">
      <alignment horizontal="left"/>
    </xf>
    <xf numFmtId="0" fontId="4" fillId="0" borderId="0" xfId="0" applyFont="1" applyBorder="1" applyAlignment="1">
      <alignment horizontal="left"/>
    </xf>
    <xf numFmtId="0" fontId="4" fillId="0" borderId="8" xfId="0" applyFont="1" applyBorder="1" applyAlignment="1">
      <alignment horizontal="left"/>
    </xf>
    <xf numFmtId="0" fontId="1" fillId="0" borderId="10" xfId="0" applyFont="1" applyFill="1" applyBorder="1" applyAlignment="1">
      <alignment horizontal="center"/>
    </xf>
  </cellXfs>
  <cellStyles count="1">
    <cellStyle name="Normal" xfId="0" builtinId="0" customBuiltin="1"/>
  </cellStyles>
  <dxfs count="0"/>
  <tableStyles count="0" defaultTableStyle="TableStyleMedium9" defaultPivotStyle="PivotStyleLight16"/>
  <colors>
    <mruColors>
      <color rgb="FFFFC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[S03_66.xlsx]Pivot Table!PivotTable40</c:name>
    <c:fmtId val="1"/>
  </c:pivotSource>
  <c:chart>
    <c:autoTitleDeleted val="0"/>
    <c:pivotFmts>
      <c:pivotFmt>
        <c:idx val="0"/>
        <c:marker>
          <c:symbol val="none"/>
        </c:marker>
      </c:pivotFmt>
      <c:pivotFmt>
        <c:idx val="1"/>
        <c:marker>
          <c:symbol val="none"/>
        </c:marker>
      </c:pivotFmt>
    </c:pivotFmts>
    <c:plotArea>
      <c:layout/>
      <c:barChart>
        <c:barDir val="col"/>
        <c:grouping val="percentStacked"/>
        <c:varyColors val="0"/>
        <c:ser>
          <c:idx val="0"/>
          <c:order val="0"/>
          <c:tx>
            <c:strRef>
              <c:f>'Pivot Table'!$B$3:$B$4</c:f>
              <c:strCache>
                <c:ptCount val="1"/>
                <c:pt idx="0">
                  <c:v>No</c:v>
                </c:pt>
              </c:strCache>
            </c:strRef>
          </c:tx>
          <c:invertIfNegative val="0"/>
          <c:cat>
            <c:strRef>
              <c:f>'Pivot Table'!$A$5:$A$9</c:f>
              <c:strCache>
                <c:ptCount val="4"/>
                <c:pt idx="0">
                  <c:v>1</c:v>
                </c:pt>
                <c:pt idx="1">
                  <c:v>2</c:v>
                </c:pt>
                <c:pt idx="2">
                  <c:v>3</c:v>
                </c:pt>
                <c:pt idx="3">
                  <c:v>4</c:v>
                </c:pt>
              </c:strCache>
            </c:strRef>
          </c:cat>
          <c:val>
            <c:numRef>
              <c:f>'Pivot Table'!$B$5:$B$9</c:f>
              <c:numCache>
                <c:formatCode>0.00%</c:formatCode>
                <c:ptCount val="4"/>
                <c:pt idx="0">
                  <c:v>0.8125</c:v>
                </c:pt>
                <c:pt idx="1">
                  <c:v>0.61224489795918369</c:v>
                </c:pt>
                <c:pt idx="2">
                  <c:v>0.72340425531914898</c:v>
                </c:pt>
                <c:pt idx="3">
                  <c:v>0.35416666666666669</c:v>
                </c:pt>
              </c:numCache>
            </c:numRef>
          </c:val>
        </c:ser>
        <c:ser>
          <c:idx val="1"/>
          <c:order val="1"/>
          <c:tx>
            <c:strRef>
              <c:f>'Pivot Table'!$C$3:$C$4</c:f>
              <c:strCache>
                <c:ptCount val="1"/>
                <c:pt idx="0">
                  <c:v>Yes</c:v>
                </c:pt>
              </c:strCache>
            </c:strRef>
          </c:tx>
          <c:invertIfNegative val="0"/>
          <c:cat>
            <c:strRef>
              <c:f>'Pivot Table'!$A$5:$A$9</c:f>
              <c:strCache>
                <c:ptCount val="4"/>
                <c:pt idx="0">
                  <c:v>1</c:v>
                </c:pt>
                <c:pt idx="1">
                  <c:v>2</c:v>
                </c:pt>
                <c:pt idx="2">
                  <c:v>3</c:v>
                </c:pt>
                <c:pt idx="3">
                  <c:v>4</c:v>
                </c:pt>
              </c:strCache>
            </c:strRef>
          </c:cat>
          <c:val>
            <c:numRef>
              <c:f>'Pivot Table'!$C$5:$C$9</c:f>
              <c:numCache>
                <c:formatCode>0.00%</c:formatCode>
                <c:ptCount val="4"/>
                <c:pt idx="0">
                  <c:v>0.1875</c:v>
                </c:pt>
                <c:pt idx="1">
                  <c:v>0.38775510204081631</c:v>
                </c:pt>
                <c:pt idx="2">
                  <c:v>0.27659574468085107</c:v>
                </c:pt>
                <c:pt idx="3">
                  <c:v>0.64583333333333337</c:v>
                </c:pt>
              </c:numCache>
            </c:numRef>
          </c:val>
        </c:ser>
        <c:dLbls>
          <c:showLegendKey val="0"/>
          <c:showVal val="0"/>
          <c:showCatName val="0"/>
          <c:showSerName val="0"/>
          <c:showPercent val="0"/>
          <c:showBubbleSize val="0"/>
        </c:dLbls>
        <c:gapWidth val="150"/>
        <c:overlap val="100"/>
        <c:axId val="1055959520"/>
        <c:axId val="1055961480"/>
      </c:barChart>
      <c:catAx>
        <c:axId val="1055959520"/>
        <c:scaling>
          <c:orientation val="minMax"/>
        </c:scaling>
        <c:delete val="0"/>
        <c:axPos val="b"/>
        <c:numFmt formatCode="General" sourceLinked="0"/>
        <c:majorTickMark val="out"/>
        <c:minorTickMark val="none"/>
        <c:tickLblPos val="nextTo"/>
        <c:crossAx val="1055961480"/>
        <c:crosses val="autoZero"/>
        <c:auto val="1"/>
        <c:lblAlgn val="ctr"/>
        <c:lblOffset val="100"/>
        <c:noMultiLvlLbl val="0"/>
      </c:catAx>
      <c:valAx>
        <c:axId val="1055961480"/>
        <c:scaling>
          <c:orientation val="minMax"/>
        </c:scaling>
        <c:delete val="0"/>
        <c:axPos val="l"/>
        <c:majorGridlines/>
        <c:numFmt formatCode="0%" sourceLinked="1"/>
        <c:majorTickMark val="out"/>
        <c:minorTickMark val="none"/>
        <c:tickLblPos val="nextTo"/>
        <c:crossAx val="105595952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0</xdr:col>
      <xdr:colOff>400050</xdr:colOff>
      <xdr:row>1</xdr:row>
      <xdr:rowOff>38101</xdr:rowOff>
    </xdr:from>
    <xdr:to>
      <xdr:col>5</xdr:col>
      <xdr:colOff>409575</xdr:colOff>
      <xdr:row>4</xdr:row>
      <xdr:rowOff>38101</xdr:rowOff>
    </xdr:to>
    <xdr:sp macro="" textlink="">
      <xdr:nvSpPr>
        <xdr:cNvPr id="2" name="TextBox 1"/>
        <xdr:cNvSpPr txBox="1"/>
      </xdr:nvSpPr>
      <xdr:spPr>
        <a:xfrm>
          <a:off x="400050" y="228601"/>
          <a:ext cx="3057525" cy="5715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www.pro-football-reference.com/years/2009/ and</a:t>
          </a:r>
          <a:r>
            <a:rPr lang="en-US" sz="1100" baseline="0"/>
            <a:t> similar sites (just change the year)</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685800</xdr:colOff>
      <xdr:row>13</xdr:row>
      <xdr:rowOff>152400</xdr:rowOff>
    </xdr:from>
    <xdr:to>
      <xdr:col>7</xdr:col>
      <xdr:colOff>257175</xdr:colOff>
      <xdr:row>19</xdr:row>
      <xdr:rowOff>114300</xdr:rowOff>
    </xdr:to>
    <xdr:sp macro="" textlink="">
      <xdr:nvSpPr>
        <xdr:cNvPr id="2" name="TextBox 1"/>
        <xdr:cNvSpPr txBox="1"/>
      </xdr:nvSpPr>
      <xdr:spPr>
        <a:xfrm>
          <a:off x="3857625" y="2486025"/>
          <a:ext cx="2962275" cy="11049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 created the table of correlations and then sorted Z-A</a:t>
          </a:r>
          <a:r>
            <a:rPr lang="en-US" sz="1100" baseline="0"/>
            <a:t> on column B to find the variables most highly correlated with Wins. Don't forget about those at the bottom (negative correlations). They are just as important.</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704850</xdr:colOff>
      <xdr:row>10</xdr:row>
      <xdr:rowOff>47625</xdr:rowOff>
    </xdr:from>
    <xdr:to>
      <xdr:col>12</xdr:col>
      <xdr:colOff>466725</xdr:colOff>
      <xdr:row>14</xdr:row>
      <xdr:rowOff>66675</xdr:rowOff>
    </xdr:to>
    <xdr:sp macro="" textlink="">
      <xdr:nvSpPr>
        <xdr:cNvPr id="2" name="TextBox 1"/>
        <xdr:cNvSpPr txBox="1"/>
      </xdr:nvSpPr>
      <xdr:spPr>
        <a:xfrm>
          <a:off x="6210300" y="1971675"/>
          <a:ext cx="2390775" cy="781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formula in any of these cells is somewhat complex, but it is copyable to the whole table.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838200</xdr:colOff>
      <xdr:row>11</xdr:row>
      <xdr:rowOff>123825</xdr:rowOff>
    </xdr:from>
    <xdr:to>
      <xdr:col>3</xdr:col>
      <xdr:colOff>628650</xdr:colOff>
      <xdr:row>21</xdr:row>
      <xdr:rowOff>171450</xdr:rowOff>
    </xdr:to>
    <xdr:sp macro="" textlink="">
      <xdr:nvSpPr>
        <xdr:cNvPr id="2" name="TextBox 1"/>
        <xdr:cNvSpPr txBox="1"/>
      </xdr:nvSpPr>
      <xdr:spPr>
        <a:xfrm>
          <a:off x="838200" y="2219325"/>
          <a:ext cx="3162300" cy="19526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You can find</a:t>
          </a:r>
          <a:r>
            <a:rPr lang="en-US" sz="1100" baseline="0"/>
            <a:t> a lot of information quickly with this approach. The pivot table/pivot chart combination shown is where passing yards is the predictor. Clearly, teams in the lowest quartile of passing yards have a much lower chance of reaching the playoffs than teams in the highest quartile of passing yards. To see the effects of other variables, just drag Passing Yards off and drag another variable on.</a:t>
          </a:r>
          <a:endParaRPr lang="en-US" sz="1100"/>
        </a:p>
      </xdr:txBody>
    </xdr:sp>
    <xdr:clientData/>
  </xdr:twoCellAnchor>
  <xdr:twoCellAnchor>
    <xdr:from>
      <xdr:col>4</xdr:col>
      <xdr:colOff>604837</xdr:colOff>
      <xdr:row>1</xdr:row>
      <xdr:rowOff>180974</xdr:rowOff>
    </xdr:from>
    <xdr:to>
      <xdr:col>12</xdr:col>
      <xdr:colOff>300037</xdr:colOff>
      <xdr:row>16</xdr:row>
      <xdr:rowOff>61911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Chris Albright" refreshedDate="40243.728559490744" createdVersion="3" refreshedVersion="3" minRefreshableVersion="3" recordCount="192">
  <cacheSource type="worksheet">
    <worksheetSource ref="A3:BA195" sheet="Data with Quartiles"/>
  </cacheSource>
  <cacheFields count="53">
    <cacheField name="Team" numFmtId="0">
      <sharedItems/>
    </cacheField>
    <cacheField name="Year" numFmtId="0">
      <sharedItems containsSemiMixedTypes="0" containsString="0" containsNumber="1" containsInteger="1" minValue="2004" maxValue="2009"/>
    </cacheField>
    <cacheField name="Wins" numFmtId="0">
      <sharedItems containsSemiMixedTypes="0" containsString="0" containsNumber="1" containsInteger="1" minValue="0" maxValue="16"/>
    </cacheField>
    <cacheField name="Losses" numFmtId="0">
      <sharedItems containsSemiMixedTypes="0" containsString="0" containsNumber="1" containsInteger="1" minValue="0" maxValue="16"/>
    </cacheField>
    <cacheField name="Playoff Team" numFmtId="0">
      <sharedItems count="2">
        <s v="Yes"/>
        <s v="No"/>
      </sharedItems>
    </cacheField>
    <cacheField name="SRS" numFmtId="0">
      <sharedItems containsSemiMixedTypes="0" containsString="0" containsNumber="1" minValue="-17.399999999999999" maxValue="20.100000000000001"/>
    </cacheField>
    <cacheField name="OSRS" numFmtId="0">
      <sharedItems containsSemiMixedTypes="0" containsString="0" containsNumber="1" minValue="-11.7" maxValue="15.9"/>
    </cacheField>
    <cacheField name="DSRS" numFmtId="0">
      <sharedItems containsSemiMixedTypes="0" containsString="0" containsNumber="1" minValue="-9.1999999999999993" maxValue="8.1999999999999993"/>
    </cacheField>
    <cacheField name="Points Scored" numFmtId="0">
      <sharedItems containsSemiMixedTypes="0" containsString="0" containsNumber="1" containsInteger="1" minValue="1" maxValue="4" count="4">
        <n v="3"/>
        <n v="1"/>
        <n v="2"/>
        <n v="4"/>
      </sharedItems>
    </cacheField>
    <cacheField name="Yards" numFmtId="0">
      <sharedItems containsSemiMixedTypes="0" containsString="0" containsNumber="1" containsInteger="1" minValue="1" maxValue="4"/>
    </cacheField>
    <cacheField name="Plays" numFmtId="0">
      <sharedItems containsSemiMixedTypes="0" containsString="0" containsNumber="1" containsInteger="1" minValue="1" maxValue="4"/>
    </cacheField>
    <cacheField name="1st Downs" numFmtId="0">
      <sharedItems containsSemiMixedTypes="0" containsString="0" containsNumber="1" containsInteger="1" minValue="1" maxValue="4"/>
    </cacheField>
    <cacheField name="Completions" numFmtId="0">
      <sharedItems containsSemiMixedTypes="0" containsString="0" containsNumber="1" containsInteger="1" minValue="1" maxValue="4"/>
    </cacheField>
    <cacheField name="Pass Attempts" numFmtId="0">
      <sharedItems containsSemiMixedTypes="0" containsString="0" containsNumber="1" containsInteger="1" minValue="1" maxValue="4"/>
    </cacheField>
    <cacheField name="Passing Yards" numFmtId="0">
      <sharedItems containsSemiMixedTypes="0" containsString="0" containsNumber="1" containsInteger="1" minValue="1" maxValue="4" count="4">
        <n v="4"/>
        <n v="3"/>
        <n v="1"/>
        <n v="2"/>
      </sharedItems>
    </cacheField>
    <cacheField name="Passing TDs" numFmtId="0">
      <sharedItems containsSemiMixedTypes="0" containsString="0" containsNumber="1" containsInteger="1" minValue="1" maxValue="4"/>
    </cacheField>
    <cacheField name="1st Downs Passing" numFmtId="0">
      <sharedItems containsSemiMixedTypes="0" containsString="0" containsNumber="1" containsInteger="1" minValue="1" maxValue="4"/>
    </cacheField>
    <cacheField name="QB Rating" numFmtId="0">
      <sharedItems containsSemiMixedTypes="0" containsString="0" containsNumber="1" containsInteger="1" minValue="1" maxValue="4" count="4">
        <n v="3"/>
        <n v="2"/>
        <n v="1"/>
        <n v="4"/>
      </sharedItems>
    </cacheField>
    <cacheField name="Sacks Against" numFmtId="0">
      <sharedItems containsSemiMixedTypes="0" containsString="0" containsNumber="1" containsInteger="1" minValue="1" maxValue="4"/>
    </cacheField>
    <cacheField name="Sack yards Against" numFmtId="0">
      <sharedItems containsSemiMixedTypes="0" containsString="0" containsNumber="1" containsInteger="1" minValue="1" maxValue="4"/>
    </cacheField>
    <cacheField name="Rushing Attempts" numFmtId="0">
      <sharedItems containsSemiMixedTypes="0" containsString="0" containsNumber="1" containsInteger="1" minValue="1" maxValue="4"/>
    </cacheField>
    <cacheField name="Rushing Yards" numFmtId="0">
      <sharedItems containsSemiMixedTypes="0" containsString="0" containsNumber="1" containsInteger="1" minValue="1" maxValue="4"/>
    </cacheField>
    <cacheField name="Rushing TDs" numFmtId="0">
      <sharedItems containsSemiMixedTypes="0" containsString="0" containsNumber="1" containsInteger="1" minValue="1" maxValue="4"/>
    </cacheField>
    <cacheField name="1st Downs Rushing" numFmtId="0">
      <sharedItems containsSemiMixedTypes="0" containsString="0" containsNumber="1" containsInteger="1" minValue="1" maxValue="4" count="4">
        <n v="1"/>
        <n v="3"/>
        <n v="4"/>
        <n v="2"/>
      </sharedItems>
    </cacheField>
    <cacheField name="Interceptions Thrown" numFmtId="0">
      <sharedItems containsSemiMixedTypes="0" containsString="0" containsNumber="1" containsInteger="1" minValue="1" maxValue="4"/>
    </cacheField>
    <cacheField name="Fumbles Lost" numFmtId="0">
      <sharedItems containsSemiMixedTypes="0" containsString="0" containsNumber="1" containsInteger="1" minValue="1" maxValue="4"/>
    </cacheField>
    <cacheField name="Punt Returns" numFmtId="0">
      <sharedItems containsSemiMixedTypes="0" containsString="0" containsNumber="1" containsInteger="1" minValue="1" maxValue="4"/>
    </cacheField>
    <cacheField name="Yards Punt Returns" numFmtId="0">
      <sharedItems containsSemiMixedTypes="0" containsString="0" containsNumber="1" containsInteger="1" minValue="1" maxValue="4"/>
    </cacheField>
    <cacheField name="Kick Returns" numFmtId="0">
      <sharedItems containsSemiMixedTypes="0" containsString="0" containsNumber="1" containsInteger="1" minValue="1" maxValue="4"/>
    </cacheField>
    <cacheField name="Yards Kick Returns" numFmtId="0">
      <sharedItems containsSemiMixedTypes="0" containsString="0" containsNumber="1" containsInteger="1" minValue="1" maxValue="4"/>
    </cacheField>
    <cacheField name="FGA 0-39" numFmtId="0">
      <sharedItems containsSemiMixedTypes="0" containsString="0" containsNumber="1" containsInteger="1" minValue="1" maxValue="4"/>
    </cacheField>
    <cacheField name="FGM 0-39" numFmtId="0">
      <sharedItems containsSemiMixedTypes="0" containsString="0" containsNumber="1" containsInteger="1" minValue="1" maxValue="4"/>
    </cacheField>
    <cacheField name="FGA 40+" numFmtId="0">
      <sharedItems containsSemiMixedTypes="0" containsString="0" containsNumber="1" containsInteger="1" minValue="1" maxValue="4"/>
    </cacheField>
    <cacheField name="FGM 40+" numFmtId="0">
      <sharedItems containsSemiMixedTypes="0" containsString="0" containsNumber="1" containsInteger="1" minValue="1" maxValue="4"/>
    </cacheField>
    <cacheField name="Punts" numFmtId="0">
      <sharedItems containsSemiMixedTypes="0" containsString="0" containsNumber="1" containsInteger="1" minValue="1" maxValue="4"/>
    </cacheField>
    <cacheField name="Punt Yards" numFmtId="0">
      <sharedItems containsSemiMixedTypes="0" containsString="0" containsNumber="1" containsInteger="1" minValue="1" maxValue="4"/>
    </cacheField>
    <cacheField name="Points Allowed" numFmtId="0">
      <sharedItems containsSemiMixedTypes="0" containsString="0" containsNumber="1" containsInteger="1" minValue="1" maxValue="4" count="4">
        <n v="2"/>
        <n v="1"/>
        <n v="3"/>
        <n v="4"/>
      </sharedItems>
    </cacheField>
    <cacheField name="Yards Allowed" numFmtId="0">
      <sharedItems containsSemiMixedTypes="0" containsString="0" containsNumber="1" containsInteger="1" minValue="1" maxValue="4"/>
    </cacheField>
    <cacheField name="Plays by Opponent" numFmtId="0">
      <sharedItems containsSemiMixedTypes="0" containsString="0" containsNumber="1" containsInteger="1" minValue="1" maxValue="4"/>
    </cacheField>
    <cacheField name="1st Downs Allowed" numFmtId="0">
      <sharedItems containsSemiMixedTypes="0" containsString="0" containsNumber="1" containsInteger="1" minValue="1" maxValue="4"/>
    </cacheField>
    <cacheField name="Completions Allowed" numFmtId="0">
      <sharedItems containsSemiMixedTypes="0" containsString="0" containsNumber="1" containsInteger="1" minValue="1" maxValue="4"/>
    </cacheField>
    <cacheField name="Passing Attempts by Opponents" numFmtId="0">
      <sharedItems containsSemiMixedTypes="0" containsString="0" containsNumber="1" containsInteger="1" minValue="1" maxValue="4"/>
    </cacheField>
    <cacheField name="Passing Yards Allowed" numFmtId="0">
      <sharedItems containsSemiMixedTypes="0" containsString="0" containsNumber="1" containsInteger="1" minValue="1" maxValue="4"/>
    </cacheField>
    <cacheField name="Passing TDs Allowed" numFmtId="0">
      <sharedItems containsSemiMixedTypes="0" containsString="0" containsNumber="1" containsInteger="1" minValue="1" maxValue="4"/>
    </cacheField>
    <cacheField name="1st Downs Passing Allowed" numFmtId="0">
      <sharedItems containsSemiMixedTypes="0" containsString="0" containsNumber="1" containsInteger="1" minValue="1" maxValue="4"/>
    </cacheField>
    <cacheField name="Sacks Caused" numFmtId="0">
      <sharedItems containsSemiMixedTypes="0" containsString="0" containsNumber="1" containsInteger="1" minValue="1" maxValue="4"/>
    </cacheField>
    <cacheField name="Sack Yards Caused" numFmtId="0">
      <sharedItems containsSemiMixedTypes="0" containsString="0" containsNumber="1" containsInteger="1" minValue="1" maxValue="4"/>
    </cacheField>
    <cacheField name="Rushing Attemps by Opponents" numFmtId="0">
      <sharedItems containsSemiMixedTypes="0" containsString="0" containsNumber="1" containsInteger="1" minValue="1" maxValue="4"/>
    </cacheField>
    <cacheField name="Rushing Yards Allowed" numFmtId="0">
      <sharedItems containsSemiMixedTypes="0" containsString="0" containsNumber="1" containsInteger="1" minValue="1" maxValue="4"/>
    </cacheField>
    <cacheField name="Rushing TDs Allowed" numFmtId="0">
      <sharedItems containsSemiMixedTypes="0" containsString="0" containsNumber="1" containsInteger="1" minValue="1" maxValue="4"/>
    </cacheField>
    <cacheField name="1st Downs Rushing Allowed" numFmtId="0">
      <sharedItems containsSemiMixedTypes="0" containsString="0" containsNumber="1" containsInteger="1" minValue="1" maxValue="4"/>
    </cacheField>
    <cacheField name="Passes Intercepted" numFmtId="0">
      <sharedItems containsSemiMixedTypes="0" containsString="0" containsNumber="1" containsInteger="1" minValue="1" maxValue="4"/>
    </cacheField>
    <cacheField name="Fumbles Recovered" numFmtId="0">
      <sharedItems containsSemiMixedTypes="0" containsString="0" containsNumber="1" containsInteger="1" minValue="1" maxValue="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92">
  <r>
    <s v="Arizona Cardinals"/>
    <n v="2009"/>
    <n v="10"/>
    <n v="6"/>
    <x v="0"/>
    <n v="-0.3"/>
    <n v="0.1"/>
    <n v="-0.4"/>
    <x v="0"/>
    <n v="3"/>
    <n v="2"/>
    <n v="3"/>
    <n v="4"/>
    <n v="4"/>
    <x v="0"/>
    <n v="4"/>
    <n v="4"/>
    <x v="0"/>
    <n v="1"/>
    <n v="2"/>
    <n v="1"/>
    <n v="1"/>
    <n v="3"/>
    <x v="0"/>
    <n v="3"/>
    <n v="4"/>
    <n v="4"/>
    <n v="2"/>
    <n v="1"/>
    <n v="1"/>
    <n v="1"/>
    <n v="1"/>
    <n v="1"/>
    <n v="2"/>
    <n v="4"/>
    <n v="1"/>
    <x v="0"/>
    <n v="4"/>
    <n v="4"/>
    <n v="2"/>
    <n v="4"/>
    <n v="4"/>
    <n v="4"/>
    <n v="3"/>
    <n v="4"/>
    <n v="4"/>
    <n v="3"/>
    <n v="1"/>
    <n v="2"/>
    <n v="2"/>
    <n v="1"/>
    <n v="4"/>
    <n v="1"/>
  </r>
  <r>
    <s v="Atlanta Falcons"/>
    <n v="2009"/>
    <n v="9"/>
    <n v="7"/>
    <x v="1"/>
    <n v="5"/>
    <n v="2.7"/>
    <n v="2.2999999999999998"/>
    <x v="0"/>
    <n v="3"/>
    <n v="4"/>
    <n v="4"/>
    <n v="3"/>
    <n v="4"/>
    <x v="1"/>
    <n v="3"/>
    <n v="3"/>
    <x v="1"/>
    <n v="1"/>
    <n v="1"/>
    <n v="3"/>
    <n v="3"/>
    <n v="3"/>
    <x v="1"/>
    <n v="3"/>
    <n v="1"/>
    <n v="1"/>
    <n v="2"/>
    <n v="1"/>
    <n v="2"/>
    <n v="2"/>
    <n v="2"/>
    <n v="2"/>
    <n v="1"/>
    <n v="1"/>
    <n v="1"/>
    <x v="0"/>
    <n v="4"/>
    <n v="2"/>
    <n v="3"/>
    <n v="4"/>
    <n v="3"/>
    <n v="4"/>
    <n v="3"/>
    <n v="4"/>
    <n v="1"/>
    <n v="1"/>
    <n v="2"/>
    <n v="2"/>
    <n v="1"/>
    <n v="2"/>
    <n v="2"/>
    <n v="3"/>
  </r>
  <r>
    <s v="Baltimore Ravens"/>
    <n v="2009"/>
    <n v="9"/>
    <n v="7"/>
    <x v="0"/>
    <n v="7.5"/>
    <n v="2.6"/>
    <n v="4.9000000000000004"/>
    <x v="0"/>
    <n v="3"/>
    <n v="3"/>
    <n v="3"/>
    <n v="3"/>
    <n v="2"/>
    <x v="1"/>
    <n v="2"/>
    <n v="3"/>
    <x v="0"/>
    <n v="3"/>
    <n v="2"/>
    <n v="3"/>
    <n v="4"/>
    <n v="4"/>
    <x v="2"/>
    <n v="1"/>
    <n v="1"/>
    <n v="3"/>
    <n v="2"/>
    <n v="2"/>
    <n v="3"/>
    <n v="3"/>
    <n v="2"/>
    <n v="2"/>
    <n v="1"/>
    <n v="2"/>
    <n v="1"/>
    <x v="1"/>
    <n v="1"/>
    <n v="2"/>
    <n v="2"/>
    <n v="2"/>
    <n v="3"/>
    <n v="2"/>
    <n v="1"/>
    <n v="2"/>
    <n v="2"/>
    <n v="1"/>
    <n v="2"/>
    <n v="1"/>
    <n v="1"/>
    <n v="1"/>
    <n v="4"/>
    <n v="2"/>
  </r>
  <r>
    <s v="Buffalo Bills"/>
    <n v="2009"/>
    <n v="6"/>
    <n v="10"/>
    <x v="1"/>
    <n v="-1.8"/>
    <n v="-4.5"/>
    <n v="2.7"/>
    <x v="1"/>
    <n v="1"/>
    <n v="1"/>
    <n v="1"/>
    <n v="1"/>
    <n v="1"/>
    <x v="2"/>
    <n v="2"/>
    <n v="1"/>
    <x v="2"/>
    <n v="4"/>
    <n v="3"/>
    <n v="2"/>
    <n v="3"/>
    <n v="1"/>
    <x v="0"/>
    <n v="3"/>
    <n v="2"/>
    <n v="2"/>
    <n v="1"/>
    <n v="2"/>
    <n v="3"/>
    <n v="4"/>
    <n v="4"/>
    <n v="3"/>
    <n v="2"/>
    <n v="4"/>
    <n v="1"/>
    <x v="0"/>
    <n v="3"/>
    <n v="4"/>
    <n v="3"/>
    <n v="2"/>
    <n v="2"/>
    <n v="1"/>
    <n v="1"/>
    <n v="1"/>
    <n v="2"/>
    <n v="1"/>
    <n v="4"/>
    <n v="4"/>
    <n v="4"/>
    <n v="4"/>
    <n v="4"/>
    <n v="1"/>
  </r>
  <r>
    <s v="Carolina Panthers"/>
    <n v="2009"/>
    <n v="8"/>
    <n v="8"/>
    <x v="1"/>
    <n v="3.9"/>
    <n v="-0.6"/>
    <n v="4.5"/>
    <x v="2"/>
    <n v="3"/>
    <n v="3"/>
    <n v="2"/>
    <n v="1"/>
    <n v="1"/>
    <x v="2"/>
    <n v="1"/>
    <n v="1"/>
    <x v="2"/>
    <n v="2"/>
    <n v="3"/>
    <n v="4"/>
    <n v="4"/>
    <n v="4"/>
    <x v="2"/>
    <n v="4"/>
    <n v="2"/>
    <n v="2"/>
    <n v="2"/>
    <n v="1"/>
    <n v="1"/>
    <n v="2"/>
    <n v="2"/>
    <n v="2"/>
    <n v="1"/>
    <n v="2"/>
    <n v="1"/>
    <x v="0"/>
    <n v="2"/>
    <n v="2"/>
    <n v="2"/>
    <n v="2"/>
    <n v="1"/>
    <n v="1"/>
    <n v="1"/>
    <n v="1"/>
    <n v="2"/>
    <n v="2"/>
    <n v="3"/>
    <n v="3"/>
    <n v="3"/>
    <n v="3"/>
    <n v="4"/>
    <n v="4"/>
  </r>
  <r>
    <s v="Chicago Bears"/>
    <n v="2009"/>
    <n v="7"/>
    <n v="9"/>
    <x v="1"/>
    <n v="-3.9"/>
    <n v="-1.9"/>
    <n v="-2"/>
    <x v="2"/>
    <n v="2"/>
    <n v="1"/>
    <n v="1"/>
    <n v="3"/>
    <n v="4"/>
    <x v="1"/>
    <n v="4"/>
    <n v="2"/>
    <x v="1"/>
    <n v="3"/>
    <n v="2"/>
    <n v="1"/>
    <n v="1"/>
    <n v="1"/>
    <x v="0"/>
    <n v="4"/>
    <n v="1"/>
    <n v="3"/>
    <n v="3"/>
    <n v="4"/>
    <n v="4"/>
    <n v="1"/>
    <n v="2"/>
    <n v="3"/>
    <n v="3"/>
    <n v="2"/>
    <n v="1"/>
    <x v="2"/>
    <n v="3"/>
    <n v="4"/>
    <n v="3"/>
    <n v="4"/>
    <n v="3"/>
    <n v="3"/>
    <n v="4"/>
    <n v="3"/>
    <n v="2"/>
    <n v="4"/>
    <n v="3"/>
    <n v="3"/>
    <n v="3"/>
    <n v="3"/>
    <n v="1"/>
    <n v="4"/>
  </r>
  <r>
    <s v="Cincinnati Bengals"/>
    <n v="2009"/>
    <n v="10"/>
    <n v="6"/>
    <x v="0"/>
    <n v="0.7"/>
    <n v="-2.5"/>
    <n v="3.2"/>
    <x v="2"/>
    <n v="2"/>
    <n v="3"/>
    <n v="2"/>
    <n v="2"/>
    <n v="2"/>
    <x v="2"/>
    <n v="2"/>
    <n v="2"/>
    <x v="0"/>
    <n v="2"/>
    <n v="3"/>
    <n v="4"/>
    <n v="3"/>
    <n v="1"/>
    <x v="1"/>
    <n v="1"/>
    <n v="2"/>
    <n v="3"/>
    <n v="4"/>
    <n v="2"/>
    <n v="2"/>
    <n v="4"/>
    <n v="3"/>
    <n v="1"/>
    <n v="1"/>
    <n v="4"/>
    <n v="1"/>
    <x v="1"/>
    <n v="1"/>
    <n v="2"/>
    <n v="1"/>
    <n v="3"/>
    <n v="4"/>
    <n v="2"/>
    <n v="1"/>
    <n v="2"/>
    <n v="2"/>
    <n v="3"/>
    <n v="1"/>
    <n v="1"/>
    <n v="2"/>
    <n v="2"/>
    <n v="3"/>
    <n v="1"/>
  </r>
  <r>
    <s v="Cleveland Browns"/>
    <n v="2009"/>
    <n v="5"/>
    <n v="11"/>
    <x v="1"/>
    <n v="-8.4"/>
    <n v="-6"/>
    <n v="-2.4"/>
    <x v="1"/>
    <n v="1"/>
    <n v="1"/>
    <n v="1"/>
    <n v="1"/>
    <n v="1"/>
    <x v="2"/>
    <n v="1"/>
    <n v="1"/>
    <x v="2"/>
    <n v="2"/>
    <n v="2"/>
    <n v="4"/>
    <n v="4"/>
    <n v="2"/>
    <x v="1"/>
    <n v="3"/>
    <n v="3"/>
    <n v="3"/>
    <n v="4"/>
    <n v="3"/>
    <n v="4"/>
    <n v="2"/>
    <n v="3"/>
    <n v="1"/>
    <n v="1"/>
    <n v="4"/>
    <n v="1"/>
    <x v="2"/>
    <n v="4"/>
    <n v="4"/>
    <n v="4"/>
    <n v="2"/>
    <n v="3"/>
    <n v="4"/>
    <n v="3"/>
    <n v="4"/>
    <n v="3"/>
    <n v="3"/>
    <n v="4"/>
    <n v="4"/>
    <n v="3"/>
    <n v="4"/>
    <n v="1"/>
    <n v="1"/>
  </r>
  <r>
    <s v="Dallas Cowboys"/>
    <n v="2009"/>
    <n v="11"/>
    <n v="5"/>
    <x v="0"/>
    <n v="7.1"/>
    <n v="0.4"/>
    <n v="6.7"/>
    <x v="0"/>
    <n v="4"/>
    <n v="3"/>
    <n v="4"/>
    <n v="4"/>
    <n v="3"/>
    <x v="0"/>
    <n v="3"/>
    <n v="4"/>
    <x v="3"/>
    <n v="2"/>
    <n v="2"/>
    <n v="2"/>
    <n v="4"/>
    <n v="3"/>
    <x v="1"/>
    <n v="1"/>
    <n v="1"/>
    <n v="3"/>
    <n v="4"/>
    <n v="1"/>
    <n v="1"/>
    <n v="2"/>
    <n v="1"/>
    <n v="4"/>
    <n v="2"/>
    <n v="2"/>
    <n v="1"/>
    <x v="1"/>
    <n v="2"/>
    <n v="2"/>
    <n v="2"/>
    <n v="4"/>
    <n v="4"/>
    <n v="3"/>
    <n v="2"/>
    <n v="3"/>
    <n v="4"/>
    <n v="4"/>
    <n v="1"/>
    <n v="1"/>
    <n v="1"/>
    <n v="1"/>
    <n v="1"/>
    <n v="2"/>
  </r>
  <r>
    <s v="Denver Broncos"/>
    <n v="2009"/>
    <n v="8"/>
    <n v="8"/>
    <x v="1"/>
    <n v="0.3"/>
    <n v="-1"/>
    <n v="1.3"/>
    <x v="2"/>
    <n v="3"/>
    <n v="4"/>
    <n v="3"/>
    <n v="3"/>
    <n v="4"/>
    <x v="1"/>
    <n v="2"/>
    <n v="3"/>
    <x v="0"/>
    <n v="2"/>
    <n v="2"/>
    <n v="3"/>
    <n v="3"/>
    <n v="1"/>
    <x v="3"/>
    <n v="1"/>
    <n v="1"/>
    <n v="4"/>
    <n v="4"/>
    <n v="1"/>
    <n v="1"/>
    <n v="4"/>
    <n v="4"/>
    <n v="3"/>
    <n v="3"/>
    <n v="3"/>
    <n v="1"/>
    <x v="0"/>
    <n v="2"/>
    <n v="3"/>
    <n v="2"/>
    <n v="2"/>
    <n v="2"/>
    <n v="1"/>
    <n v="1"/>
    <n v="2"/>
    <n v="3"/>
    <n v="3"/>
    <n v="3"/>
    <n v="4"/>
    <n v="2"/>
    <n v="3"/>
    <n v="3"/>
    <n v="3"/>
  </r>
  <r>
    <s v="Detroit Lions"/>
    <n v="2009"/>
    <n v="2"/>
    <n v="14"/>
    <x v="1"/>
    <n v="-14.4"/>
    <n v="-5.2"/>
    <n v="-9.1999999999999993"/>
    <x v="1"/>
    <n v="1"/>
    <n v="4"/>
    <n v="2"/>
    <n v="3"/>
    <n v="4"/>
    <x v="3"/>
    <n v="1"/>
    <n v="2"/>
    <x v="2"/>
    <n v="3"/>
    <n v="4"/>
    <n v="2"/>
    <n v="2"/>
    <n v="1"/>
    <x v="0"/>
    <n v="4"/>
    <n v="1"/>
    <n v="1"/>
    <n v="1"/>
    <n v="4"/>
    <n v="4"/>
    <n v="1"/>
    <n v="1"/>
    <n v="3"/>
    <n v="2"/>
    <n v="2"/>
    <n v="1"/>
    <x v="3"/>
    <n v="4"/>
    <n v="3"/>
    <n v="4"/>
    <n v="4"/>
    <n v="3"/>
    <n v="4"/>
    <n v="4"/>
    <n v="4"/>
    <n v="1"/>
    <n v="1"/>
    <n v="3"/>
    <n v="3"/>
    <n v="4"/>
    <n v="2"/>
    <n v="1"/>
    <n v="3"/>
  </r>
  <r>
    <s v="Green Bay Packers"/>
    <n v="2009"/>
    <n v="11"/>
    <n v="5"/>
    <x v="0"/>
    <n v="7.4"/>
    <n v="6.3"/>
    <n v="1.1000000000000001"/>
    <x v="3"/>
    <n v="4"/>
    <n v="4"/>
    <n v="4"/>
    <n v="4"/>
    <n v="3"/>
    <x v="0"/>
    <n v="4"/>
    <n v="4"/>
    <x v="3"/>
    <n v="4"/>
    <n v="4"/>
    <n v="2"/>
    <n v="3"/>
    <n v="4"/>
    <x v="1"/>
    <n v="1"/>
    <n v="1"/>
    <n v="2"/>
    <n v="1"/>
    <n v="1"/>
    <n v="1"/>
    <n v="4"/>
    <n v="4"/>
    <n v="3"/>
    <n v="1"/>
    <n v="1"/>
    <n v="1"/>
    <x v="1"/>
    <n v="1"/>
    <n v="1"/>
    <n v="1"/>
    <n v="2"/>
    <n v="3"/>
    <n v="2"/>
    <n v="4"/>
    <n v="2"/>
    <n v="3"/>
    <n v="3"/>
    <n v="1"/>
    <n v="1"/>
    <n v="1"/>
    <n v="1"/>
    <n v="4"/>
    <n v="2"/>
  </r>
  <r>
    <s v="Houston Texans"/>
    <n v="2009"/>
    <n v="9"/>
    <n v="7"/>
    <x v="1"/>
    <n v="2"/>
    <n v="2.7"/>
    <n v="-0.7"/>
    <x v="0"/>
    <n v="4"/>
    <n v="4"/>
    <n v="4"/>
    <n v="4"/>
    <n v="4"/>
    <x v="0"/>
    <n v="4"/>
    <n v="4"/>
    <x v="3"/>
    <n v="1"/>
    <n v="1"/>
    <n v="2"/>
    <n v="1"/>
    <n v="2"/>
    <x v="3"/>
    <n v="3"/>
    <n v="2"/>
    <n v="4"/>
    <n v="4"/>
    <n v="2"/>
    <n v="2"/>
    <n v="4"/>
    <n v="3"/>
    <n v="2"/>
    <n v="1"/>
    <n v="1"/>
    <n v="1"/>
    <x v="0"/>
    <n v="2"/>
    <n v="1"/>
    <n v="3"/>
    <n v="4"/>
    <n v="4"/>
    <n v="3"/>
    <n v="2"/>
    <n v="2"/>
    <n v="1"/>
    <n v="1"/>
    <n v="1"/>
    <n v="2"/>
    <n v="4"/>
    <n v="2"/>
    <n v="2"/>
    <n v="3"/>
  </r>
  <r>
    <s v="Indianapolis Colts"/>
    <n v="2009"/>
    <n v="14"/>
    <n v="2"/>
    <x v="0"/>
    <n v="5.9"/>
    <n v="4.4000000000000004"/>
    <n v="1.5"/>
    <x v="3"/>
    <n v="4"/>
    <n v="2"/>
    <n v="4"/>
    <n v="4"/>
    <n v="4"/>
    <x v="0"/>
    <n v="4"/>
    <n v="4"/>
    <x v="3"/>
    <n v="1"/>
    <n v="1"/>
    <n v="1"/>
    <n v="1"/>
    <n v="3"/>
    <x v="0"/>
    <n v="3"/>
    <n v="1"/>
    <n v="1"/>
    <n v="1"/>
    <n v="1"/>
    <n v="1"/>
    <n v="1"/>
    <n v="1"/>
    <n v="1"/>
    <n v="1"/>
    <n v="1"/>
    <n v="1"/>
    <x v="0"/>
    <n v="3"/>
    <n v="4"/>
    <n v="4"/>
    <n v="4"/>
    <n v="4"/>
    <n v="3"/>
    <n v="2"/>
    <n v="4"/>
    <n v="2"/>
    <n v="3"/>
    <n v="3"/>
    <n v="3"/>
    <n v="1"/>
    <n v="3"/>
    <n v="2"/>
    <n v="2"/>
  </r>
  <r>
    <s v="Jacksonville Jaguars"/>
    <n v="2009"/>
    <n v="7"/>
    <n v="9"/>
    <x v="1"/>
    <n v="-6.5"/>
    <n v="-3.8"/>
    <n v="-2.6"/>
    <x v="1"/>
    <n v="3"/>
    <n v="3"/>
    <n v="3"/>
    <n v="3"/>
    <n v="2"/>
    <x v="1"/>
    <n v="1"/>
    <n v="2"/>
    <x v="0"/>
    <n v="3"/>
    <n v="3"/>
    <n v="3"/>
    <n v="3"/>
    <n v="4"/>
    <x v="2"/>
    <n v="1"/>
    <n v="3"/>
    <n v="1"/>
    <n v="1"/>
    <n v="3"/>
    <n v="3"/>
    <n v="1"/>
    <n v="1"/>
    <n v="4"/>
    <n v="2"/>
    <n v="2"/>
    <n v="1"/>
    <x v="2"/>
    <n v="4"/>
    <n v="2"/>
    <n v="3"/>
    <n v="4"/>
    <n v="2"/>
    <n v="4"/>
    <n v="4"/>
    <n v="4"/>
    <n v="1"/>
    <n v="1"/>
    <n v="3"/>
    <n v="3"/>
    <n v="2"/>
    <n v="3"/>
    <n v="2"/>
    <n v="2"/>
  </r>
  <r>
    <s v="Kansas City Chiefs"/>
    <n v="2009"/>
    <n v="4"/>
    <n v="12"/>
    <x v="1"/>
    <n v="-8.4"/>
    <n v="-2.5"/>
    <n v="-5.9"/>
    <x v="2"/>
    <n v="2"/>
    <n v="3"/>
    <n v="1"/>
    <n v="2"/>
    <n v="3"/>
    <x v="2"/>
    <n v="2"/>
    <n v="1"/>
    <x v="2"/>
    <n v="4"/>
    <n v="3"/>
    <n v="2"/>
    <n v="3"/>
    <n v="1"/>
    <x v="3"/>
    <n v="3"/>
    <n v="1"/>
    <n v="2"/>
    <n v="1"/>
    <n v="4"/>
    <n v="4"/>
    <n v="2"/>
    <n v="3"/>
    <n v="3"/>
    <n v="2"/>
    <n v="4"/>
    <n v="1"/>
    <x v="3"/>
    <n v="4"/>
    <n v="4"/>
    <n v="4"/>
    <n v="2"/>
    <n v="2"/>
    <n v="4"/>
    <n v="3"/>
    <n v="3"/>
    <n v="1"/>
    <n v="1"/>
    <n v="4"/>
    <n v="4"/>
    <n v="4"/>
    <n v="4"/>
    <n v="2"/>
    <n v="3"/>
  </r>
  <r>
    <s v="Miami Dolphins"/>
    <n v="2009"/>
    <n v="7"/>
    <n v="9"/>
    <x v="1"/>
    <n v="1.7"/>
    <n v="2.9"/>
    <n v="-1.2"/>
    <x v="0"/>
    <n v="3"/>
    <n v="4"/>
    <n v="4"/>
    <n v="3"/>
    <n v="3"/>
    <x v="3"/>
    <n v="1"/>
    <n v="3"/>
    <x v="2"/>
    <n v="2"/>
    <n v="3"/>
    <n v="4"/>
    <n v="4"/>
    <n v="4"/>
    <x v="2"/>
    <n v="3"/>
    <n v="1"/>
    <n v="2"/>
    <n v="1"/>
    <n v="4"/>
    <n v="4"/>
    <n v="2"/>
    <n v="2"/>
    <n v="2"/>
    <n v="3"/>
    <n v="2"/>
    <n v="1"/>
    <x v="3"/>
    <n v="4"/>
    <n v="1"/>
    <n v="2"/>
    <n v="1"/>
    <n v="1"/>
    <n v="4"/>
    <n v="3"/>
    <n v="3"/>
    <n v="4"/>
    <n v="3"/>
    <n v="2"/>
    <n v="3"/>
    <n v="3"/>
    <n v="2"/>
    <n v="2"/>
    <n v="1"/>
  </r>
  <r>
    <s v="Minnesota Vikings"/>
    <n v="2009"/>
    <n v="12"/>
    <n v="4"/>
    <x v="0"/>
    <n v="7.2"/>
    <n v="6.6"/>
    <n v="0.6"/>
    <x v="3"/>
    <n v="4"/>
    <n v="4"/>
    <n v="4"/>
    <n v="4"/>
    <n v="3"/>
    <x v="0"/>
    <n v="4"/>
    <n v="4"/>
    <x v="3"/>
    <n v="2"/>
    <n v="3"/>
    <n v="3"/>
    <n v="3"/>
    <n v="4"/>
    <x v="1"/>
    <n v="1"/>
    <n v="2"/>
    <n v="4"/>
    <n v="4"/>
    <n v="1"/>
    <n v="2"/>
    <n v="2"/>
    <n v="2"/>
    <n v="2"/>
    <n v="3"/>
    <n v="2"/>
    <n v="1"/>
    <x v="0"/>
    <n v="2"/>
    <n v="1"/>
    <n v="1"/>
    <n v="4"/>
    <n v="3"/>
    <n v="3"/>
    <n v="4"/>
    <n v="3"/>
    <n v="4"/>
    <n v="4"/>
    <n v="1"/>
    <n v="1"/>
    <n v="1"/>
    <n v="1"/>
    <n v="1"/>
    <n v="3"/>
  </r>
  <r>
    <s v="New England Patriots"/>
    <n v="2009"/>
    <n v="10"/>
    <n v="6"/>
    <x v="0"/>
    <n v="11.2"/>
    <n v="6.7"/>
    <n v="4.5"/>
    <x v="3"/>
    <n v="4"/>
    <n v="4"/>
    <n v="4"/>
    <n v="4"/>
    <n v="4"/>
    <x v="0"/>
    <n v="4"/>
    <n v="4"/>
    <x v="3"/>
    <n v="1"/>
    <n v="1"/>
    <n v="3"/>
    <n v="3"/>
    <n v="4"/>
    <x v="2"/>
    <n v="1"/>
    <n v="1"/>
    <n v="3"/>
    <n v="4"/>
    <n v="1"/>
    <n v="1"/>
    <n v="3"/>
    <n v="3"/>
    <n v="2"/>
    <n v="2"/>
    <n v="1"/>
    <n v="1"/>
    <x v="1"/>
    <n v="2"/>
    <n v="1"/>
    <n v="2"/>
    <n v="2"/>
    <n v="2"/>
    <n v="2"/>
    <n v="3"/>
    <n v="4"/>
    <n v="2"/>
    <n v="3"/>
    <n v="1"/>
    <n v="2"/>
    <n v="1"/>
    <n v="1"/>
    <n v="3"/>
    <n v="2"/>
  </r>
  <r>
    <s v="New Orleans Saints"/>
    <n v="2009"/>
    <n v="13"/>
    <n v="3"/>
    <x v="0"/>
    <n v="10.8"/>
    <n v="11.2"/>
    <n v="-0.5"/>
    <x v="3"/>
    <n v="4"/>
    <n v="4"/>
    <n v="4"/>
    <n v="4"/>
    <n v="3"/>
    <x v="0"/>
    <n v="4"/>
    <n v="4"/>
    <x v="3"/>
    <n v="1"/>
    <n v="1"/>
    <n v="3"/>
    <n v="4"/>
    <n v="4"/>
    <x v="2"/>
    <n v="1"/>
    <n v="3"/>
    <n v="2"/>
    <n v="1"/>
    <n v="1"/>
    <n v="2"/>
    <n v="4"/>
    <n v="4"/>
    <n v="1"/>
    <n v="1"/>
    <n v="1"/>
    <n v="1"/>
    <x v="2"/>
    <n v="4"/>
    <n v="4"/>
    <n v="3"/>
    <n v="3"/>
    <n v="4"/>
    <n v="4"/>
    <n v="1"/>
    <n v="2"/>
    <n v="2"/>
    <n v="2"/>
    <n v="2"/>
    <n v="3"/>
    <n v="4"/>
    <n v="3"/>
    <n v="4"/>
    <n v="3"/>
  </r>
  <r>
    <s v="New York Giants"/>
    <n v="2009"/>
    <n v="8"/>
    <n v="8"/>
    <x v="1"/>
    <n v="0.1"/>
    <n v="4.5999999999999996"/>
    <n v="-4.5"/>
    <x v="3"/>
    <n v="4"/>
    <n v="3"/>
    <n v="4"/>
    <n v="3"/>
    <n v="3"/>
    <x v="0"/>
    <n v="4"/>
    <n v="4"/>
    <x v="3"/>
    <n v="2"/>
    <n v="3"/>
    <n v="3"/>
    <n v="3"/>
    <n v="3"/>
    <x v="1"/>
    <n v="2"/>
    <n v="4"/>
    <n v="2"/>
    <n v="3"/>
    <n v="3"/>
    <n v="2"/>
    <n v="4"/>
    <n v="4"/>
    <n v="1"/>
    <n v="1"/>
    <n v="1"/>
    <n v="1"/>
    <x v="3"/>
    <n v="2"/>
    <n v="1"/>
    <n v="3"/>
    <n v="2"/>
    <n v="2"/>
    <n v="3"/>
    <n v="4"/>
    <n v="3"/>
    <n v="2"/>
    <n v="3"/>
    <n v="2"/>
    <n v="2"/>
    <n v="4"/>
    <n v="3"/>
    <n v="1"/>
    <n v="2"/>
  </r>
  <r>
    <s v="New York Jets"/>
    <n v="2009"/>
    <n v="9"/>
    <n v="7"/>
    <x v="0"/>
    <n v="8.6"/>
    <n v="1.1000000000000001"/>
    <n v="7.5"/>
    <x v="0"/>
    <n v="2"/>
    <n v="3"/>
    <n v="2"/>
    <n v="1"/>
    <n v="1"/>
    <x v="2"/>
    <n v="1"/>
    <n v="1"/>
    <x v="2"/>
    <n v="2"/>
    <n v="2"/>
    <n v="4"/>
    <n v="4"/>
    <n v="4"/>
    <x v="2"/>
    <n v="4"/>
    <n v="1"/>
    <n v="4"/>
    <n v="4"/>
    <n v="1"/>
    <n v="1"/>
    <n v="4"/>
    <n v="3"/>
    <n v="4"/>
    <n v="4"/>
    <n v="3"/>
    <n v="1"/>
    <x v="1"/>
    <n v="1"/>
    <n v="1"/>
    <n v="1"/>
    <n v="1"/>
    <n v="2"/>
    <n v="1"/>
    <n v="1"/>
    <n v="1"/>
    <n v="2"/>
    <n v="3"/>
    <n v="2"/>
    <n v="1"/>
    <n v="2"/>
    <n v="2"/>
    <n v="3"/>
    <n v="3"/>
  </r>
  <r>
    <s v="Oakland Raiders"/>
    <n v="2009"/>
    <n v="5"/>
    <n v="11"/>
    <x v="1"/>
    <n v="-10.3"/>
    <n v="-8.6999999999999993"/>
    <n v="-1.6"/>
    <x v="1"/>
    <n v="1"/>
    <n v="1"/>
    <n v="1"/>
    <n v="1"/>
    <n v="2"/>
    <x v="2"/>
    <n v="1"/>
    <n v="1"/>
    <x v="2"/>
    <n v="4"/>
    <n v="4"/>
    <n v="2"/>
    <n v="2"/>
    <n v="1"/>
    <x v="0"/>
    <n v="3"/>
    <n v="3"/>
    <n v="2"/>
    <n v="1"/>
    <n v="3"/>
    <n v="1"/>
    <n v="1"/>
    <n v="1"/>
    <n v="4"/>
    <n v="4"/>
    <n v="4"/>
    <n v="1"/>
    <x v="2"/>
    <n v="4"/>
    <n v="3"/>
    <n v="3"/>
    <n v="1"/>
    <n v="1"/>
    <n v="2"/>
    <n v="1"/>
    <n v="1"/>
    <n v="3"/>
    <n v="3"/>
    <n v="4"/>
    <n v="4"/>
    <n v="4"/>
    <n v="4"/>
    <n v="1"/>
    <n v="3"/>
  </r>
  <r>
    <s v="Philadelphia Eagles"/>
    <n v="2009"/>
    <n v="11"/>
    <n v="5"/>
    <x v="0"/>
    <n v="6"/>
    <n v="5.8"/>
    <n v="0.2"/>
    <x v="3"/>
    <n v="4"/>
    <n v="2"/>
    <n v="2"/>
    <n v="3"/>
    <n v="3"/>
    <x v="0"/>
    <n v="4"/>
    <n v="3"/>
    <x v="3"/>
    <n v="3"/>
    <n v="4"/>
    <n v="1"/>
    <n v="2"/>
    <n v="3"/>
    <x v="3"/>
    <n v="1"/>
    <n v="1"/>
    <n v="2"/>
    <n v="4"/>
    <n v="1"/>
    <n v="1"/>
    <n v="4"/>
    <n v="4"/>
    <n v="4"/>
    <n v="4"/>
    <n v="2"/>
    <n v="1"/>
    <x v="0"/>
    <n v="2"/>
    <n v="4"/>
    <n v="2"/>
    <n v="4"/>
    <n v="4"/>
    <n v="3"/>
    <n v="4"/>
    <n v="3"/>
    <n v="4"/>
    <n v="4"/>
    <n v="2"/>
    <n v="2"/>
    <n v="2"/>
    <n v="1"/>
    <n v="4"/>
    <n v="3"/>
  </r>
  <r>
    <s v="Pittsburgh Steelers"/>
    <n v="2009"/>
    <n v="9"/>
    <n v="7"/>
    <x v="1"/>
    <n v="1.7"/>
    <n v="1"/>
    <n v="0.7"/>
    <x v="0"/>
    <n v="4"/>
    <n v="3"/>
    <n v="4"/>
    <n v="4"/>
    <n v="3"/>
    <x v="0"/>
    <n v="4"/>
    <n v="4"/>
    <x v="3"/>
    <n v="4"/>
    <n v="4"/>
    <n v="2"/>
    <n v="2"/>
    <n v="2"/>
    <x v="3"/>
    <n v="2"/>
    <n v="2"/>
    <n v="2"/>
    <n v="2"/>
    <n v="3"/>
    <n v="3"/>
    <n v="4"/>
    <n v="4"/>
    <n v="1"/>
    <n v="1"/>
    <n v="2"/>
    <n v="1"/>
    <x v="0"/>
    <n v="1"/>
    <n v="1"/>
    <n v="1"/>
    <n v="3"/>
    <n v="4"/>
    <n v="3"/>
    <n v="3"/>
    <n v="3"/>
    <n v="4"/>
    <n v="4"/>
    <n v="1"/>
    <n v="1"/>
    <n v="1"/>
    <n v="1"/>
    <n v="1"/>
    <n v="2"/>
  </r>
  <r>
    <s v="San Diego Chargers"/>
    <n v="2009"/>
    <n v="13"/>
    <n v="3"/>
    <x v="0"/>
    <n v="6.6"/>
    <n v="6.4"/>
    <n v="0.2"/>
    <x v="3"/>
    <n v="4"/>
    <n v="2"/>
    <n v="4"/>
    <n v="3"/>
    <n v="2"/>
    <x v="0"/>
    <n v="4"/>
    <n v="4"/>
    <x v="3"/>
    <n v="1"/>
    <n v="1"/>
    <n v="2"/>
    <n v="1"/>
    <n v="3"/>
    <x v="0"/>
    <n v="1"/>
    <n v="1"/>
    <n v="1"/>
    <n v="1"/>
    <n v="2"/>
    <n v="2"/>
    <n v="4"/>
    <n v="4"/>
    <n v="3"/>
    <n v="3"/>
    <n v="1"/>
    <n v="1"/>
    <x v="0"/>
    <n v="3"/>
    <n v="2"/>
    <n v="3"/>
    <n v="3"/>
    <n v="3"/>
    <n v="2"/>
    <n v="3"/>
    <n v="3"/>
    <n v="2"/>
    <n v="2"/>
    <n v="2"/>
    <n v="3"/>
    <n v="1"/>
    <n v="4"/>
    <n v="2"/>
    <n v="2"/>
  </r>
  <r>
    <s v="San Francisco 49ers"/>
    <n v="2009"/>
    <n v="8"/>
    <n v="8"/>
    <x v="1"/>
    <n v="0.1"/>
    <n v="-2.9"/>
    <n v="3"/>
    <x v="2"/>
    <n v="1"/>
    <n v="1"/>
    <n v="1"/>
    <n v="2"/>
    <n v="3"/>
    <x v="3"/>
    <n v="3"/>
    <n v="1"/>
    <x v="1"/>
    <n v="3"/>
    <n v="3"/>
    <n v="1"/>
    <n v="1"/>
    <n v="2"/>
    <x v="0"/>
    <n v="2"/>
    <n v="1"/>
    <n v="4"/>
    <n v="1"/>
    <n v="1"/>
    <n v="1"/>
    <n v="1"/>
    <n v="1"/>
    <n v="1"/>
    <n v="1"/>
    <n v="4"/>
    <n v="1"/>
    <x v="1"/>
    <n v="3"/>
    <n v="4"/>
    <n v="1"/>
    <n v="4"/>
    <n v="4"/>
    <n v="4"/>
    <n v="1"/>
    <n v="3"/>
    <n v="4"/>
    <n v="4"/>
    <n v="2"/>
    <n v="1"/>
    <n v="2"/>
    <n v="1"/>
    <n v="3"/>
    <n v="4"/>
  </r>
  <r>
    <s v="Seattle Seahawks"/>
    <n v="2009"/>
    <n v="5"/>
    <n v="11"/>
    <x v="1"/>
    <n v="-9.3000000000000007"/>
    <n v="-5"/>
    <n v="-4.4000000000000004"/>
    <x v="1"/>
    <n v="2"/>
    <n v="4"/>
    <n v="2"/>
    <n v="4"/>
    <n v="4"/>
    <x v="1"/>
    <n v="2"/>
    <n v="3"/>
    <x v="1"/>
    <n v="3"/>
    <n v="3"/>
    <n v="1"/>
    <n v="1"/>
    <n v="1"/>
    <x v="0"/>
    <n v="3"/>
    <n v="2"/>
    <n v="4"/>
    <n v="3"/>
    <n v="2"/>
    <n v="2"/>
    <n v="3"/>
    <n v="3"/>
    <n v="1"/>
    <n v="1"/>
    <n v="4"/>
    <n v="1"/>
    <x v="3"/>
    <n v="4"/>
    <n v="3"/>
    <n v="3"/>
    <n v="4"/>
    <n v="4"/>
    <n v="4"/>
    <n v="4"/>
    <n v="4"/>
    <n v="1"/>
    <n v="1"/>
    <n v="2"/>
    <n v="2"/>
    <n v="4"/>
    <n v="1"/>
    <n v="1"/>
    <n v="2"/>
  </r>
  <r>
    <s v="St. Louis Rams"/>
    <n v="2009"/>
    <n v="1"/>
    <n v="15"/>
    <x v="1"/>
    <n v="-17.399999999999999"/>
    <n v="-11.7"/>
    <n v="-5.8"/>
    <x v="1"/>
    <n v="1"/>
    <n v="2"/>
    <n v="1"/>
    <n v="2"/>
    <n v="3"/>
    <x v="2"/>
    <n v="1"/>
    <n v="2"/>
    <x v="2"/>
    <n v="3"/>
    <n v="4"/>
    <n v="2"/>
    <n v="2"/>
    <n v="1"/>
    <x v="0"/>
    <n v="4"/>
    <n v="2"/>
    <n v="3"/>
    <n v="3"/>
    <n v="4"/>
    <n v="4"/>
    <n v="1"/>
    <n v="1"/>
    <n v="3"/>
    <n v="3"/>
    <n v="4"/>
    <n v="1"/>
    <x v="3"/>
    <n v="4"/>
    <n v="3"/>
    <n v="4"/>
    <n v="3"/>
    <n v="1"/>
    <n v="4"/>
    <n v="3"/>
    <n v="3"/>
    <n v="1"/>
    <n v="1"/>
    <n v="4"/>
    <n v="4"/>
    <n v="4"/>
    <n v="4"/>
    <n v="1"/>
    <n v="3"/>
  </r>
  <r>
    <s v="Tampa Bay Buccaneers"/>
    <n v="2009"/>
    <n v="3"/>
    <n v="13"/>
    <x v="1"/>
    <n v="-5.6"/>
    <n v="-4.5999999999999996"/>
    <n v="-1.1000000000000001"/>
    <x v="1"/>
    <n v="1"/>
    <n v="1"/>
    <n v="1"/>
    <n v="1"/>
    <n v="2"/>
    <x v="3"/>
    <n v="2"/>
    <n v="1"/>
    <x v="2"/>
    <n v="2"/>
    <n v="1"/>
    <n v="1"/>
    <n v="2"/>
    <n v="1"/>
    <x v="0"/>
    <n v="4"/>
    <n v="1"/>
    <n v="3"/>
    <n v="4"/>
    <n v="2"/>
    <n v="4"/>
    <n v="1"/>
    <n v="1"/>
    <n v="4"/>
    <n v="2"/>
    <n v="4"/>
    <n v="1"/>
    <x v="3"/>
    <n v="4"/>
    <n v="4"/>
    <n v="4"/>
    <n v="2"/>
    <n v="1"/>
    <n v="2"/>
    <n v="4"/>
    <n v="2"/>
    <n v="1"/>
    <n v="1"/>
    <n v="4"/>
    <n v="4"/>
    <n v="3"/>
    <n v="4"/>
    <n v="3"/>
    <n v="2"/>
  </r>
  <r>
    <s v="Tennessee Titans"/>
    <n v="2009"/>
    <n v="8"/>
    <n v="8"/>
    <x v="1"/>
    <n v="-2.8"/>
    <n v="0.9"/>
    <n v="-3.6"/>
    <x v="0"/>
    <n v="4"/>
    <n v="2"/>
    <n v="2"/>
    <n v="1"/>
    <n v="1"/>
    <x v="3"/>
    <n v="1"/>
    <n v="2"/>
    <x v="1"/>
    <n v="1"/>
    <n v="1"/>
    <n v="4"/>
    <n v="4"/>
    <n v="4"/>
    <x v="2"/>
    <n v="2"/>
    <n v="3"/>
    <n v="2"/>
    <n v="1"/>
    <n v="3"/>
    <n v="2"/>
    <n v="1"/>
    <n v="1"/>
    <n v="4"/>
    <n v="4"/>
    <n v="2"/>
    <n v="1"/>
    <x v="3"/>
    <n v="4"/>
    <n v="4"/>
    <n v="4"/>
    <n v="4"/>
    <n v="4"/>
    <n v="4"/>
    <n v="4"/>
    <n v="4"/>
    <n v="2"/>
    <n v="3"/>
    <n v="1"/>
    <n v="2"/>
    <n v="3"/>
    <n v="2"/>
    <n v="4"/>
    <n v="1"/>
  </r>
  <r>
    <s v="Washington Redskins"/>
    <n v="2009"/>
    <n v="4"/>
    <n v="12"/>
    <x v="1"/>
    <n v="-4.5999999999999996"/>
    <n v="-5.5"/>
    <n v="1"/>
    <x v="1"/>
    <n v="2"/>
    <n v="1"/>
    <n v="2"/>
    <n v="3"/>
    <n v="3"/>
    <x v="1"/>
    <n v="2"/>
    <n v="3"/>
    <x v="0"/>
    <n v="4"/>
    <n v="4"/>
    <n v="1"/>
    <n v="1"/>
    <n v="1"/>
    <x v="0"/>
    <n v="2"/>
    <n v="2"/>
    <n v="2"/>
    <n v="1"/>
    <n v="2"/>
    <n v="2"/>
    <n v="2"/>
    <n v="2"/>
    <n v="1"/>
    <n v="2"/>
    <n v="2"/>
    <n v="1"/>
    <x v="0"/>
    <n v="2"/>
    <n v="3"/>
    <n v="2"/>
    <n v="2"/>
    <n v="2"/>
    <n v="2"/>
    <n v="2"/>
    <n v="3"/>
    <n v="3"/>
    <n v="3"/>
    <n v="3"/>
    <n v="2"/>
    <n v="1"/>
    <n v="2"/>
    <n v="1"/>
    <n v="1"/>
  </r>
  <r>
    <s v="Arizona Cardinals"/>
    <n v="2008"/>
    <n v="9"/>
    <n v="7"/>
    <x v="0"/>
    <n v="-1.9"/>
    <n v="4.0999999999999996"/>
    <n v="-6"/>
    <x v="3"/>
    <n v="4"/>
    <n v="2"/>
    <n v="4"/>
    <n v="4"/>
    <n v="4"/>
    <x v="0"/>
    <n v="4"/>
    <n v="4"/>
    <x v="3"/>
    <n v="1"/>
    <n v="2"/>
    <n v="1"/>
    <n v="1"/>
    <n v="3"/>
    <x v="0"/>
    <n v="2"/>
    <n v="4"/>
    <n v="2"/>
    <n v="1"/>
    <n v="4"/>
    <n v="4"/>
    <n v="3"/>
    <n v="3"/>
    <n v="1"/>
    <n v="2"/>
    <n v="1"/>
    <n v="2"/>
    <x v="3"/>
    <n v="3"/>
    <n v="2"/>
    <n v="3"/>
    <n v="3"/>
    <n v="2"/>
    <n v="3"/>
    <n v="4"/>
    <n v="2"/>
    <n v="2"/>
    <n v="2"/>
    <n v="3"/>
    <n v="2"/>
    <n v="2"/>
    <n v="4"/>
    <n v="1"/>
    <n v="4"/>
  </r>
  <r>
    <s v="Atlanta Falcons"/>
    <n v="2008"/>
    <n v="11"/>
    <n v="5"/>
    <x v="0"/>
    <n v="3.8"/>
    <n v="1.3"/>
    <n v="2.5"/>
    <x v="0"/>
    <n v="4"/>
    <n v="3"/>
    <n v="3"/>
    <n v="1"/>
    <n v="1"/>
    <x v="1"/>
    <n v="1"/>
    <n v="2"/>
    <x v="0"/>
    <n v="1"/>
    <n v="1"/>
    <n v="4"/>
    <n v="4"/>
    <n v="4"/>
    <x v="2"/>
    <n v="1"/>
    <n v="4"/>
    <n v="3"/>
    <n v="3"/>
    <n v="2"/>
    <n v="2"/>
    <n v="3"/>
    <n v="3"/>
    <n v="3"/>
    <n v="4"/>
    <n v="1"/>
    <n v="2"/>
    <x v="0"/>
    <n v="4"/>
    <n v="2"/>
    <n v="3"/>
    <n v="3"/>
    <n v="4"/>
    <n v="3"/>
    <n v="2"/>
    <n v="4"/>
    <n v="2"/>
    <n v="3"/>
    <n v="2"/>
    <n v="4"/>
    <n v="4"/>
    <n v="3"/>
    <n v="1"/>
    <n v="1"/>
  </r>
  <r>
    <s v="Baltimore Ravens"/>
    <n v="2008"/>
    <n v="11"/>
    <n v="5"/>
    <x v="0"/>
    <n v="9.8000000000000007"/>
    <n v="4.2"/>
    <n v="5.6"/>
    <x v="0"/>
    <n v="2"/>
    <n v="4"/>
    <n v="3"/>
    <n v="1"/>
    <n v="1"/>
    <x v="2"/>
    <n v="1"/>
    <n v="1"/>
    <x v="0"/>
    <n v="2"/>
    <n v="3"/>
    <n v="4"/>
    <n v="4"/>
    <n v="4"/>
    <x v="2"/>
    <n v="1"/>
    <n v="4"/>
    <n v="4"/>
    <n v="3"/>
    <n v="1"/>
    <n v="1"/>
    <n v="4"/>
    <n v="4"/>
    <n v="3"/>
    <n v="1"/>
    <n v="3"/>
    <n v="4"/>
    <x v="1"/>
    <n v="1"/>
    <n v="1"/>
    <n v="1"/>
    <n v="1"/>
    <n v="3"/>
    <n v="1"/>
    <n v="1"/>
    <n v="1"/>
    <n v="2"/>
    <n v="3"/>
    <n v="1"/>
    <n v="1"/>
    <n v="1"/>
    <n v="1"/>
    <n v="4"/>
    <n v="1"/>
  </r>
  <r>
    <s v="Buffalo Bills"/>
    <n v="2008"/>
    <n v="7"/>
    <n v="9"/>
    <x v="1"/>
    <n v="-3.3"/>
    <n v="-2.8"/>
    <n v="-0.6"/>
    <x v="2"/>
    <n v="2"/>
    <n v="1"/>
    <n v="2"/>
    <n v="2"/>
    <n v="2"/>
    <x v="3"/>
    <n v="1"/>
    <n v="2"/>
    <x v="1"/>
    <n v="3"/>
    <n v="3"/>
    <n v="3"/>
    <n v="3"/>
    <n v="3"/>
    <x v="1"/>
    <n v="2"/>
    <n v="4"/>
    <n v="1"/>
    <n v="4"/>
    <n v="4"/>
    <n v="4"/>
    <n v="3"/>
    <n v="3"/>
    <n v="4"/>
    <n v="4"/>
    <n v="1"/>
    <n v="2"/>
    <x v="2"/>
    <n v="2"/>
    <n v="1"/>
    <n v="2"/>
    <n v="2"/>
    <n v="1"/>
    <n v="2"/>
    <n v="1"/>
    <n v="2"/>
    <n v="1"/>
    <n v="1"/>
    <n v="3"/>
    <n v="3"/>
    <n v="4"/>
    <n v="4"/>
    <n v="1"/>
    <n v="3"/>
  </r>
  <r>
    <s v="Carolina Panthers"/>
    <n v="2008"/>
    <n v="12"/>
    <n v="4"/>
    <x v="0"/>
    <n v="5.6"/>
    <n v="2.8"/>
    <n v="2.9"/>
    <x v="3"/>
    <n v="3"/>
    <n v="1"/>
    <n v="2"/>
    <n v="1"/>
    <n v="1"/>
    <x v="3"/>
    <n v="1"/>
    <n v="1"/>
    <x v="0"/>
    <n v="1"/>
    <n v="1"/>
    <n v="4"/>
    <n v="4"/>
    <n v="4"/>
    <x v="2"/>
    <n v="1"/>
    <n v="2"/>
    <n v="3"/>
    <n v="4"/>
    <n v="2"/>
    <n v="2"/>
    <n v="2"/>
    <n v="2"/>
    <n v="4"/>
    <n v="4"/>
    <n v="2"/>
    <n v="3"/>
    <x v="0"/>
    <n v="3"/>
    <n v="3"/>
    <n v="2"/>
    <n v="3"/>
    <n v="4"/>
    <n v="3"/>
    <n v="2"/>
    <n v="3"/>
    <n v="3"/>
    <n v="3"/>
    <n v="2"/>
    <n v="3"/>
    <n v="3"/>
    <n v="3"/>
    <n v="1"/>
    <n v="3"/>
  </r>
  <r>
    <s v="Chicago Bears"/>
    <n v="2008"/>
    <n v="9"/>
    <n v="7"/>
    <x v="1"/>
    <n v="2.1"/>
    <n v="1.1000000000000001"/>
    <n v="1"/>
    <x v="0"/>
    <n v="1"/>
    <n v="2"/>
    <n v="1"/>
    <n v="2"/>
    <n v="3"/>
    <x v="3"/>
    <n v="2"/>
    <n v="2"/>
    <x v="1"/>
    <n v="2"/>
    <n v="1"/>
    <n v="2"/>
    <n v="2"/>
    <n v="3"/>
    <x v="1"/>
    <n v="2"/>
    <n v="4"/>
    <n v="3"/>
    <n v="2"/>
    <n v="4"/>
    <n v="4"/>
    <n v="2"/>
    <n v="3"/>
    <n v="2"/>
    <n v="2"/>
    <n v="4"/>
    <n v="4"/>
    <x v="2"/>
    <n v="3"/>
    <n v="4"/>
    <n v="3"/>
    <n v="4"/>
    <n v="4"/>
    <n v="4"/>
    <n v="2"/>
    <n v="4"/>
    <n v="1"/>
    <n v="2"/>
    <n v="2"/>
    <n v="1"/>
    <n v="3"/>
    <n v="2"/>
    <n v="4"/>
    <n v="2"/>
  </r>
  <r>
    <s v="Cincinnati Bengals"/>
    <n v="2008"/>
    <n v="4"/>
    <n v="11"/>
    <x v="1"/>
    <n v="-7"/>
    <n v="-6.9"/>
    <n v="-0.1"/>
    <x v="1"/>
    <n v="1"/>
    <n v="2"/>
    <n v="1"/>
    <n v="2"/>
    <n v="2"/>
    <x v="2"/>
    <n v="1"/>
    <n v="1"/>
    <x v="2"/>
    <n v="4"/>
    <n v="3"/>
    <n v="2"/>
    <n v="1"/>
    <n v="1"/>
    <x v="0"/>
    <n v="2"/>
    <n v="4"/>
    <n v="2"/>
    <n v="2"/>
    <n v="3"/>
    <n v="3"/>
    <n v="1"/>
    <n v="1"/>
    <n v="2"/>
    <n v="3"/>
    <n v="4"/>
    <n v="4"/>
    <x v="2"/>
    <n v="2"/>
    <n v="3"/>
    <n v="2"/>
    <n v="3"/>
    <n v="2"/>
    <n v="2"/>
    <n v="3"/>
    <n v="2"/>
    <n v="1"/>
    <n v="1"/>
    <n v="4"/>
    <n v="3"/>
    <n v="3"/>
    <n v="3"/>
    <n v="1"/>
    <n v="3"/>
  </r>
  <r>
    <s v="Cleveland Browns"/>
    <n v="2008"/>
    <n v="4"/>
    <n v="12"/>
    <x v="1"/>
    <n v="-4.5999999999999996"/>
    <n v="-5.2"/>
    <n v="0.6"/>
    <x v="1"/>
    <n v="1"/>
    <n v="1"/>
    <n v="1"/>
    <n v="1"/>
    <n v="2"/>
    <x v="2"/>
    <n v="1"/>
    <n v="1"/>
    <x v="2"/>
    <n v="1"/>
    <n v="1"/>
    <n v="2"/>
    <n v="2"/>
    <n v="1"/>
    <x v="3"/>
    <n v="4"/>
    <n v="4"/>
    <n v="1"/>
    <n v="2"/>
    <n v="1"/>
    <n v="2"/>
    <n v="4"/>
    <n v="4"/>
    <n v="3"/>
    <n v="2"/>
    <n v="2"/>
    <n v="3"/>
    <x v="2"/>
    <n v="4"/>
    <n v="3"/>
    <n v="4"/>
    <n v="1"/>
    <n v="1"/>
    <n v="2"/>
    <n v="2"/>
    <n v="3"/>
    <n v="1"/>
    <n v="1"/>
    <n v="4"/>
    <n v="4"/>
    <n v="3"/>
    <n v="4"/>
    <n v="4"/>
    <n v="1"/>
  </r>
  <r>
    <s v="Dallas Cowboys"/>
    <n v="2008"/>
    <n v="9"/>
    <n v="7"/>
    <x v="1"/>
    <n v="0.6"/>
    <n v="1.7"/>
    <n v="-1.2"/>
    <x v="0"/>
    <n v="3"/>
    <n v="2"/>
    <n v="2"/>
    <n v="3"/>
    <n v="3"/>
    <x v="1"/>
    <n v="4"/>
    <n v="2"/>
    <x v="0"/>
    <n v="2"/>
    <n v="2"/>
    <n v="1"/>
    <n v="2"/>
    <n v="2"/>
    <x v="1"/>
    <n v="4"/>
    <n v="4"/>
    <n v="3"/>
    <n v="2"/>
    <n v="3"/>
    <n v="3"/>
    <n v="1"/>
    <n v="1"/>
    <n v="3"/>
    <n v="4"/>
    <n v="3"/>
    <n v="3"/>
    <x v="2"/>
    <n v="1"/>
    <n v="1"/>
    <n v="1"/>
    <n v="2"/>
    <n v="2"/>
    <n v="1"/>
    <n v="2"/>
    <n v="2"/>
    <n v="4"/>
    <n v="4"/>
    <n v="1"/>
    <n v="2"/>
    <n v="2"/>
    <n v="2"/>
    <n v="1"/>
    <n v="3"/>
  </r>
  <r>
    <s v="Denver Broncos"/>
    <n v="2008"/>
    <n v="8"/>
    <n v="8"/>
    <x v="1"/>
    <n v="-5.8"/>
    <n v="0.7"/>
    <n v="-6.5"/>
    <x v="0"/>
    <n v="4"/>
    <n v="3"/>
    <n v="4"/>
    <n v="4"/>
    <n v="4"/>
    <x v="0"/>
    <n v="3"/>
    <n v="4"/>
    <x v="0"/>
    <n v="1"/>
    <n v="1"/>
    <n v="1"/>
    <n v="3"/>
    <n v="3"/>
    <x v="1"/>
    <n v="3"/>
    <n v="4"/>
    <n v="1"/>
    <n v="1"/>
    <n v="3"/>
    <n v="3"/>
    <n v="2"/>
    <n v="2"/>
    <n v="4"/>
    <n v="3"/>
    <n v="1"/>
    <n v="1"/>
    <x v="3"/>
    <n v="4"/>
    <n v="2"/>
    <n v="4"/>
    <n v="3"/>
    <n v="1"/>
    <n v="4"/>
    <n v="2"/>
    <n v="3"/>
    <n v="1"/>
    <n v="1"/>
    <n v="3"/>
    <n v="4"/>
    <n v="4"/>
    <n v="4"/>
    <n v="1"/>
    <n v="1"/>
  </r>
  <r>
    <s v="Detroit Lions"/>
    <n v="2008"/>
    <n v="0"/>
    <n v="16"/>
    <x v="1"/>
    <n v="-13.1"/>
    <n v="-4"/>
    <n v="-9.1"/>
    <x v="1"/>
    <n v="1"/>
    <n v="1"/>
    <n v="1"/>
    <n v="1"/>
    <n v="2"/>
    <x v="3"/>
    <n v="2"/>
    <n v="1"/>
    <x v="2"/>
    <n v="4"/>
    <n v="4"/>
    <n v="1"/>
    <n v="1"/>
    <n v="2"/>
    <x v="0"/>
    <n v="3"/>
    <n v="4"/>
    <n v="1"/>
    <n v="1"/>
    <n v="4"/>
    <n v="4"/>
    <n v="1"/>
    <n v="1"/>
    <n v="3"/>
    <n v="4"/>
    <n v="4"/>
    <n v="4"/>
    <x v="3"/>
    <n v="4"/>
    <n v="3"/>
    <n v="4"/>
    <n v="2"/>
    <n v="1"/>
    <n v="4"/>
    <n v="3"/>
    <n v="4"/>
    <n v="1"/>
    <n v="2"/>
    <n v="4"/>
    <n v="4"/>
    <n v="4"/>
    <n v="4"/>
    <n v="1"/>
    <n v="4"/>
  </r>
  <r>
    <s v="Green Bay Packers"/>
    <n v="2008"/>
    <n v="6"/>
    <n v="10"/>
    <x v="1"/>
    <n v="2.9"/>
    <n v="4.0999999999999996"/>
    <n v="-1.2"/>
    <x v="3"/>
    <n v="3"/>
    <n v="3"/>
    <n v="3"/>
    <n v="4"/>
    <n v="3"/>
    <x v="1"/>
    <n v="4"/>
    <n v="3"/>
    <x v="3"/>
    <n v="2"/>
    <n v="3"/>
    <n v="2"/>
    <n v="2"/>
    <n v="2"/>
    <x v="1"/>
    <n v="1"/>
    <n v="4"/>
    <n v="3"/>
    <n v="4"/>
    <n v="3"/>
    <n v="2"/>
    <n v="4"/>
    <n v="3"/>
    <n v="3"/>
    <n v="2"/>
    <n v="1"/>
    <n v="2"/>
    <x v="2"/>
    <n v="3"/>
    <n v="3"/>
    <n v="2"/>
    <n v="1"/>
    <n v="2"/>
    <n v="2"/>
    <n v="3"/>
    <n v="1"/>
    <n v="1"/>
    <n v="1"/>
    <n v="3"/>
    <n v="4"/>
    <n v="4"/>
    <n v="4"/>
    <n v="4"/>
    <n v="1"/>
  </r>
  <r>
    <s v="Houston Texans"/>
    <n v="2008"/>
    <n v="8"/>
    <n v="8"/>
    <x v="1"/>
    <n v="-0.4"/>
    <n v="2.8"/>
    <n v="-3.2"/>
    <x v="0"/>
    <n v="4"/>
    <n v="3"/>
    <n v="4"/>
    <n v="4"/>
    <n v="3"/>
    <x v="0"/>
    <n v="2"/>
    <n v="4"/>
    <x v="0"/>
    <n v="2"/>
    <n v="2"/>
    <n v="2"/>
    <n v="3"/>
    <n v="3"/>
    <x v="1"/>
    <n v="4"/>
    <n v="4"/>
    <n v="2"/>
    <n v="3"/>
    <n v="3"/>
    <n v="3"/>
    <n v="3"/>
    <n v="3"/>
    <n v="3"/>
    <n v="3"/>
    <n v="1"/>
    <n v="1"/>
    <x v="3"/>
    <n v="3"/>
    <n v="1"/>
    <n v="3"/>
    <n v="2"/>
    <n v="1"/>
    <n v="3"/>
    <n v="3"/>
    <n v="2"/>
    <n v="1"/>
    <n v="1"/>
    <n v="2"/>
    <n v="3"/>
    <n v="4"/>
    <n v="4"/>
    <n v="1"/>
    <n v="2"/>
  </r>
  <r>
    <s v="Indianapolis Colts"/>
    <n v="2008"/>
    <n v="12"/>
    <n v="4"/>
    <x v="0"/>
    <n v="6.5"/>
    <n v="2.6"/>
    <n v="3.9"/>
    <x v="0"/>
    <n v="3"/>
    <n v="1"/>
    <n v="3"/>
    <n v="4"/>
    <n v="4"/>
    <x v="0"/>
    <n v="4"/>
    <n v="4"/>
    <x v="3"/>
    <n v="1"/>
    <n v="1"/>
    <n v="1"/>
    <n v="1"/>
    <n v="2"/>
    <x v="0"/>
    <n v="1"/>
    <n v="3"/>
    <n v="1"/>
    <n v="1"/>
    <n v="2"/>
    <n v="2"/>
    <n v="2"/>
    <n v="2"/>
    <n v="1"/>
    <n v="1"/>
    <n v="1"/>
    <n v="1"/>
    <x v="1"/>
    <n v="2"/>
    <n v="2"/>
    <n v="3"/>
    <n v="3"/>
    <n v="1"/>
    <n v="1"/>
    <n v="1"/>
    <n v="2"/>
    <n v="1"/>
    <n v="2"/>
    <n v="3"/>
    <n v="3"/>
    <n v="4"/>
    <n v="4"/>
    <n v="2"/>
    <n v="2"/>
  </r>
  <r>
    <s v="Jacksonville Jaguars"/>
    <n v="2008"/>
    <n v="5"/>
    <n v="11"/>
    <x v="1"/>
    <n v="-2.5"/>
    <n v="-2.1"/>
    <n v="-0.4"/>
    <x v="2"/>
    <n v="2"/>
    <n v="3"/>
    <n v="3"/>
    <n v="3"/>
    <n v="3"/>
    <x v="1"/>
    <n v="1"/>
    <n v="3"/>
    <x v="0"/>
    <n v="3"/>
    <n v="4"/>
    <n v="2"/>
    <n v="2"/>
    <n v="3"/>
    <x v="1"/>
    <n v="1"/>
    <n v="4"/>
    <n v="1"/>
    <n v="2"/>
    <n v="4"/>
    <n v="4"/>
    <n v="1"/>
    <n v="1"/>
    <n v="3"/>
    <n v="3"/>
    <n v="1"/>
    <n v="2"/>
    <x v="2"/>
    <n v="3"/>
    <n v="1"/>
    <n v="2"/>
    <n v="2"/>
    <n v="1"/>
    <n v="3"/>
    <n v="3"/>
    <n v="2"/>
    <n v="1"/>
    <n v="2"/>
    <n v="2"/>
    <n v="2"/>
    <n v="3"/>
    <n v="2"/>
    <n v="1"/>
    <n v="1"/>
  </r>
  <r>
    <s v="Kansas City Chiefs"/>
    <n v="2008"/>
    <n v="2"/>
    <n v="14"/>
    <x v="1"/>
    <n v="-9.1999999999999993"/>
    <n v="-3.9"/>
    <n v="-5.3"/>
    <x v="2"/>
    <n v="2"/>
    <n v="1"/>
    <n v="1"/>
    <n v="2"/>
    <n v="3"/>
    <x v="3"/>
    <n v="3"/>
    <n v="2"/>
    <x v="1"/>
    <n v="3"/>
    <n v="3"/>
    <n v="1"/>
    <n v="2"/>
    <n v="1"/>
    <x v="3"/>
    <n v="2"/>
    <n v="4"/>
    <n v="1"/>
    <n v="1"/>
    <n v="4"/>
    <n v="4"/>
    <n v="2"/>
    <n v="1"/>
    <n v="1"/>
    <n v="1"/>
    <n v="3"/>
    <n v="4"/>
    <x v="3"/>
    <n v="4"/>
    <n v="4"/>
    <n v="4"/>
    <n v="4"/>
    <n v="3"/>
    <n v="4"/>
    <n v="2"/>
    <n v="4"/>
    <n v="1"/>
    <n v="1"/>
    <n v="4"/>
    <n v="4"/>
    <n v="4"/>
    <n v="4"/>
    <n v="1"/>
    <n v="4"/>
  </r>
  <r>
    <s v="Miami Dolphins"/>
    <n v="2008"/>
    <n v="11"/>
    <n v="5"/>
    <x v="0"/>
    <n v="-0.5"/>
    <n v="-2.4"/>
    <n v="1.8"/>
    <x v="0"/>
    <n v="3"/>
    <n v="1"/>
    <n v="3"/>
    <n v="3"/>
    <n v="2"/>
    <x v="1"/>
    <n v="2"/>
    <n v="3"/>
    <x v="3"/>
    <n v="1"/>
    <n v="1"/>
    <n v="3"/>
    <n v="3"/>
    <n v="4"/>
    <x v="2"/>
    <n v="1"/>
    <n v="4"/>
    <n v="1"/>
    <n v="2"/>
    <n v="2"/>
    <n v="1"/>
    <n v="1"/>
    <n v="1"/>
    <n v="3"/>
    <n v="3"/>
    <n v="2"/>
    <n v="3"/>
    <x v="0"/>
    <n v="3"/>
    <n v="2"/>
    <n v="2"/>
    <n v="3"/>
    <n v="4"/>
    <n v="4"/>
    <n v="1"/>
    <n v="2"/>
    <n v="3"/>
    <n v="2"/>
    <n v="1"/>
    <n v="2"/>
    <n v="2"/>
    <n v="2"/>
    <n v="3"/>
    <n v="3"/>
  </r>
  <r>
    <s v="Minnesota Vikings"/>
    <n v="2008"/>
    <n v="10"/>
    <n v="6"/>
    <x v="0"/>
    <n v="4"/>
    <n v="1.1000000000000001"/>
    <n v="2.9"/>
    <x v="0"/>
    <n v="3"/>
    <n v="3"/>
    <n v="2"/>
    <n v="1"/>
    <n v="1"/>
    <x v="3"/>
    <n v="3"/>
    <n v="1"/>
    <x v="0"/>
    <n v="3"/>
    <n v="3"/>
    <n v="4"/>
    <n v="4"/>
    <n v="3"/>
    <x v="2"/>
    <n v="3"/>
    <n v="4"/>
    <n v="2"/>
    <n v="2"/>
    <n v="2"/>
    <n v="2"/>
    <n v="3"/>
    <n v="3"/>
    <n v="4"/>
    <n v="4"/>
    <n v="2"/>
    <n v="3"/>
    <x v="0"/>
    <n v="1"/>
    <n v="1"/>
    <n v="1"/>
    <n v="3"/>
    <n v="3"/>
    <n v="3"/>
    <n v="1"/>
    <n v="2"/>
    <n v="4"/>
    <n v="4"/>
    <n v="1"/>
    <n v="1"/>
    <n v="1"/>
    <n v="1"/>
    <n v="1"/>
    <n v="3"/>
  </r>
  <r>
    <s v="New England Patriots"/>
    <n v="2008"/>
    <n v="11"/>
    <n v="5"/>
    <x v="1"/>
    <n v="3.9"/>
    <n v="2.2999999999999998"/>
    <n v="1.6"/>
    <x v="3"/>
    <n v="4"/>
    <n v="4"/>
    <n v="4"/>
    <n v="3"/>
    <n v="3"/>
    <x v="1"/>
    <n v="2"/>
    <n v="3"/>
    <x v="0"/>
    <n v="4"/>
    <n v="2"/>
    <n v="4"/>
    <n v="4"/>
    <n v="4"/>
    <x v="2"/>
    <n v="1"/>
    <n v="4"/>
    <n v="2"/>
    <n v="3"/>
    <n v="2"/>
    <n v="3"/>
    <n v="4"/>
    <n v="4"/>
    <n v="3"/>
    <n v="3"/>
    <n v="1"/>
    <n v="1"/>
    <x v="0"/>
    <n v="2"/>
    <n v="1"/>
    <n v="1"/>
    <n v="1"/>
    <n v="1"/>
    <n v="2"/>
    <n v="4"/>
    <n v="3"/>
    <n v="2"/>
    <n v="3"/>
    <n v="2"/>
    <n v="2"/>
    <n v="1"/>
    <n v="1"/>
    <n v="2"/>
    <n v="1"/>
  </r>
  <r>
    <s v="New Orleans Saints"/>
    <n v="2008"/>
    <n v="8"/>
    <n v="8"/>
    <x v="1"/>
    <n v="4"/>
    <n v="6.8"/>
    <n v="-2.8"/>
    <x v="3"/>
    <n v="4"/>
    <n v="4"/>
    <n v="4"/>
    <n v="4"/>
    <n v="4"/>
    <x v="0"/>
    <n v="4"/>
    <n v="4"/>
    <x v="3"/>
    <n v="1"/>
    <n v="1"/>
    <n v="1"/>
    <n v="1"/>
    <n v="4"/>
    <x v="1"/>
    <n v="3"/>
    <n v="4"/>
    <n v="1"/>
    <n v="3"/>
    <n v="2"/>
    <n v="3"/>
    <n v="1"/>
    <n v="2"/>
    <n v="3"/>
    <n v="2"/>
    <n v="1"/>
    <n v="1"/>
    <x v="3"/>
    <n v="3"/>
    <n v="3"/>
    <n v="3"/>
    <n v="2"/>
    <n v="3"/>
    <n v="3"/>
    <n v="2"/>
    <n v="3"/>
    <n v="1"/>
    <n v="1"/>
    <n v="3"/>
    <n v="3"/>
    <n v="3"/>
    <n v="3"/>
    <n v="2"/>
    <n v="1"/>
  </r>
  <r>
    <s v="New York Giants"/>
    <n v="2008"/>
    <n v="12"/>
    <n v="4"/>
    <x v="0"/>
    <n v="8.4"/>
    <n v="5.5"/>
    <n v="2.8"/>
    <x v="3"/>
    <n v="4"/>
    <n v="3"/>
    <n v="4"/>
    <n v="2"/>
    <n v="2"/>
    <x v="3"/>
    <n v="3"/>
    <n v="3"/>
    <x v="0"/>
    <n v="1"/>
    <n v="2"/>
    <n v="4"/>
    <n v="4"/>
    <n v="4"/>
    <x v="2"/>
    <n v="1"/>
    <n v="4"/>
    <n v="3"/>
    <n v="3"/>
    <n v="1"/>
    <n v="1"/>
    <n v="4"/>
    <n v="4"/>
    <n v="1"/>
    <n v="1"/>
    <n v="1"/>
    <n v="2"/>
    <x v="1"/>
    <n v="1"/>
    <n v="1"/>
    <n v="1"/>
    <n v="2"/>
    <n v="2"/>
    <n v="2"/>
    <n v="1"/>
    <n v="2"/>
    <n v="4"/>
    <n v="4"/>
    <n v="1"/>
    <n v="1"/>
    <n v="3"/>
    <n v="1"/>
    <n v="3"/>
    <n v="1"/>
  </r>
  <r>
    <s v="New York Jets"/>
    <n v="2008"/>
    <n v="9"/>
    <n v="7"/>
    <x v="1"/>
    <n v="0.2"/>
    <n v="2.2000000000000002"/>
    <n v="-1.9"/>
    <x v="3"/>
    <n v="3"/>
    <n v="2"/>
    <n v="3"/>
    <n v="4"/>
    <n v="3"/>
    <x v="1"/>
    <n v="3"/>
    <n v="3"/>
    <x v="1"/>
    <n v="2"/>
    <n v="2"/>
    <n v="2"/>
    <n v="3"/>
    <n v="4"/>
    <x v="3"/>
    <n v="4"/>
    <n v="4"/>
    <n v="1"/>
    <n v="2"/>
    <n v="2"/>
    <n v="2"/>
    <n v="4"/>
    <n v="3"/>
    <n v="1"/>
    <n v="1"/>
    <n v="1"/>
    <n v="2"/>
    <x v="2"/>
    <n v="3"/>
    <n v="3"/>
    <n v="4"/>
    <n v="4"/>
    <n v="4"/>
    <n v="4"/>
    <n v="3"/>
    <n v="4"/>
    <n v="4"/>
    <n v="3"/>
    <n v="1"/>
    <n v="1"/>
    <n v="1"/>
    <n v="2"/>
    <n v="2"/>
    <n v="4"/>
  </r>
  <r>
    <s v="Oakland Raiders"/>
    <n v="2008"/>
    <n v="5"/>
    <n v="11"/>
    <x v="1"/>
    <n v="-7.5"/>
    <n v="-6.5"/>
    <n v="-1"/>
    <x v="1"/>
    <n v="1"/>
    <n v="1"/>
    <n v="1"/>
    <n v="1"/>
    <n v="1"/>
    <x v="2"/>
    <n v="1"/>
    <n v="1"/>
    <x v="2"/>
    <n v="3"/>
    <n v="3"/>
    <n v="3"/>
    <n v="3"/>
    <n v="1"/>
    <x v="3"/>
    <n v="1"/>
    <n v="4"/>
    <n v="4"/>
    <n v="4"/>
    <n v="4"/>
    <n v="4"/>
    <n v="3"/>
    <n v="3"/>
    <n v="2"/>
    <n v="1"/>
    <n v="4"/>
    <n v="4"/>
    <x v="3"/>
    <n v="4"/>
    <n v="4"/>
    <n v="4"/>
    <n v="1"/>
    <n v="1"/>
    <n v="2"/>
    <n v="2"/>
    <n v="2"/>
    <n v="2"/>
    <n v="1"/>
    <n v="4"/>
    <n v="4"/>
    <n v="4"/>
    <n v="4"/>
    <n v="2"/>
    <n v="1"/>
  </r>
  <r>
    <s v="Philadelphia Eagles"/>
    <n v="2008"/>
    <n v="9"/>
    <n v="6"/>
    <x v="0"/>
    <n v="7.8"/>
    <n v="4.7"/>
    <n v="3.2"/>
    <x v="3"/>
    <n v="3"/>
    <n v="4"/>
    <n v="3"/>
    <n v="4"/>
    <n v="4"/>
    <x v="0"/>
    <n v="3"/>
    <n v="4"/>
    <x v="0"/>
    <n v="1"/>
    <n v="1"/>
    <n v="2"/>
    <n v="2"/>
    <n v="3"/>
    <x v="3"/>
    <n v="2"/>
    <n v="3"/>
    <n v="4"/>
    <n v="4"/>
    <n v="2"/>
    <n v="2"/>
    <n v="4"/>
    <n v="4"/>
    <n v="4"/>
    <n v="3"/>
    <n v="3"/>
    <n v="3"/>
    <x v="1"/>
    <n v="1"/>
    <n v="2"/>
    <n v="1"/>
    <n v="1"/>
    <n v="3"/>
    <n v="1"/>
    <n v="2"/>
    <n v="1"/>
    <n v="4"/>
    <n v="4"/>
    <n v="2"/>
    <n v="1"/>
    <n v="1"/>
    <n v="1"/>
    <n v="2"/>
    <n v="3"/>
  </r>
  <r>
    <s v="Pittsburgh Steelers"/>
    <n v="2008"/>
    <n v="12"/>
    <n v="4"/>
    <x v="0"/>
    <n v="9.8000000000000007"/>
    <n v="1.6"/>
    <n v="8.1999999999999993"/>
    <x v="0"/>
    <n v="2"/>
    <n v="3"/>
    <n v="2"/>
    <n v="2"/>
    <n v="2"/>
    <x v="3"/>
    <n v="2"/>
    <n v="3"/>
    <x v="0"/>
    <n v="4"/>
    <n v="4"/>
    <n v="3"/>
    <n v="2"/>
    <n v="3"/>
    <x v="3"/>
    <n v="2"/>
    <n v="4"/>
    <n v="3"/>
    <n v="2"/>
    <n v="1"/>
    <n v="1"/>
    <n v="3"/>
    <n v="3"/>
    <n v="3"/>
    <n v="3"/>
    <n v="3"/>
    <n v="3"/>
    <x v="1"/>
    <n v="1"/>
    <n v="1"/>
    <n v="1"/>
    <n v="2"/>
    <n v="3"/>
    <n v="1"/>
    <n v="1"/>
    <n v="1"/>
    <n v="4"/>
    <n v="4"/>
    <n v="1"/>
    <n v="1"/>
    <n v="1"/>
    <n v="1"/>
    <n v="4"/>
    <n v="1"/>
  </r>
  <r>
    <s v="San Diego Chargers"/>
    <n v="2008"/>
    <n v="8"/>
    <n v="8"/>
    <x v="0"/>
    <n v="5"/>
    <n v="5"/>
    <n v="0"/>
    <x v="3"/>
    <n v="3"/>
    <n v="1"/>
    <n v="3"/>
    <n v="2"/>
    <n v="2"/>
    <x v="0"/>
    <n v="4"/>
    <n v="3"/>
    <x v="3"/>
    <n v="1"/>
    <n v="1"/>
    <n v="2"/>
    <n v="2"/>
    <n v="2"/>
    <x v="3"/>
    <n v="1"/>
    <n v="4"/>
    <n v="1"/>
    <n v="2"/>
    <n v="2"/>
    <n v="3"/>
    <n v="4"/>
    <n v="4"/>
    <n v="1"/>
    <n v="1"/>
    <n v="1"/>
    <n v="1"/>
    <x v="2"/>
    <n v="4"/>
    <n v="4"/>
    <n v="4"/>
    <n v="4"/>
    <n v="4"/>
    <n v="4"/>
    <n v="3"/>
    <n v="4"/>
    <n v="1"/>
    <n v="1"/>
    <n v="1"/>
    <n v="2"/>
    <n v="2"/>
    <n v="2"/>
    <n v="2"/>
    <n v="1"/>
  </r>
  <r>
    <s v="San Francisco 49ers"/>
    <n v="2008"/>
    <n v="7"/>
    <n v="9"/>
    <x v="1"/>
    <n v="-5.3"/>
    <n v="-2.9"/>
    <n v="-2.4"/>
    <x v="2"/>
    <n v="2"/>
    <n v="1"/>
    <n v="2"/>
    <n v="2"/>
    <n v="2"/>
    <x v="1"/>
    <n v="2"/>
    <n v="3"/>
    <x v="0"/>
    <n v="4"/>
    <n v="4"/>
    <n v="1"/>
    <n v="1"/>
    <n v="2"/>
    <x v="0"/>
    <n v="3"/>
    <n v="4"/>
    <n v="1"/>
    <n v="2"/>
    <n v="4"/>
    <n v="4"/>
    <n v="3"/>
    <n v="3"/>
    <n v="3"/>
    <n v="3"/>
    <n v="1"/>
    <n v="3"/>
    <x v="2"/>
    <n v="2"/>
    <n v="3"/>
    <n v="2"/>
    <n v="3"/>
    <n v="3"/>
    <n v="3"/>
    <n v="3"/>
    <n v="2"/>
    <n v="1"/>
    <n v="1"/>
    <n v="3"/>
    <n v="2"/>
    <n v="3"/>
    <n v="3"/>
    <n v="1"/>
    <n v="1"/>
  </r>
  <r>
    <s v="Seattle Seahawks"/>
    <n v="2008"/>
    <n v="4"/>
    <n v="12"/>
    <x v="1"/>
    <n v="-7.6"/>
    <n v="-4.9000000000000004"/>
    <n v="-2.8"/>
    <x v="2"/>
    <n v="1"/>
    <n v="1"/>
    <n v="1"/>
    <n v="1"/>
    <n v="1"/>
    <x v="2"/>
    <n v="2"/>
    <n v="1"/>
    <x v="2"/>
    <n v="3"/>
    <n v="2"/>
    <n v="2"/>
    <n v="2"/>
    <n v="2"/>
    <x v="1"/>
    <n v="2"/>
    <n v="4"/>
    <n v="2"/>
    <n v="3"/>
    <n v="4"/>
    <n v="4"/>
    <n v="2"/>
    <n v="2"/>
    <n v="2"/>
    <n v="2"/>
    <n v="4"/>
    <n v="4"/>
    <x v="3"/>
    <n v="4"/>
    <n v="4"/>
    <n v="4"/>
    <n v="4"/>
    <n v="4"/>
    <n v="4"/>
    <n v="3"/>
    <n v="4"/>
    <n v="2"/>
    <n v="2"/>
    <n v="3"/>
    <n v="3"/>
    <n v="2"/>
    <n v="2"/>
    <n v="1"/>
    <n v="2"/>
  </r>
  <r>
    <s v="St. Louis Rams"/>
    <n v="2008"/>
    <n v="2"/>
    <n v="14"/>
    <x v="1"/>
    <n v="-15.1"/>
    <n v="-8.1"/>
    <n v="-7"/>
    <x v="1"/>
    <n v="1"/>
    <n v="2"/>
    <n v="1"/>
    <n v="2"/>
    <n v="2"/>
    <x v="3"/>
    <n v="1"/>
    <n v="1"/>
    <x v="2"/>
    <n v="4"/>
    <n v="4"/>
    <n v="2"/>
    <n v="2"/>
    <n v="1"/>
    <x v="3"/>
    <n v="3"/>
    <n v="4"/>
    <n v="1"/>
    <n v="2"/>
    <n v="4"/>
    <n v="4"/>
    <n v="1"/>
    <n v="2"/>
    <n v="4"/>
    <n v="4"/>
    <n v="3"/>
    <n v="4"/>
    <x v="3"/>
    <n v="4"/>
    <n v="2"/>
    <n v="4"/>
    <n v="1"/>
    <n v="1"/>
    <n v="3"/>
    <n v="2"/>
    <n v="1"/>
    <n v="1"/>
    <n v="2"/>
    <n v="4"/>
    <n v="4"/>
    <n v="4"/>
    <n v="4"/>
    <n v="1"/>
    <n v="3"/>
  </r>
  <r>
    <s v="Tampa Bay Buccaneers"/>
    <n v="2008"/>
    <n v="9"/>
    <n v="7"/>
    <x v="1"/>
    <n v="2.2999999999999998"/>
    <n v="-0.6"/>
    <n v="2.9"/>
    <x v="0"/>
    <n v="3"/>
    <n v="4"/>
    <n v="3"/>
    <n v="4"/>
    <n v="4"/>
    <x v="1"/>
    <n v="2"/>
    <n v="3"/>
    <x v="0"/>
    <n v="2"/>
    <n v="2"/>
    <n v="3"/>
    <n v="3"/>
    <n v="2"/>
    <x v="1"/>
    <n v="1"/>
    <n v="4"/>
    <n v="4"/>
    <n v="4"/>
    <n v="2"/>
    <n v="3"/>
    <n v="4"/>
    <n v="4"/>
    <n v="2"/>
    <n v="1"/>
    <n v="2"/>
    <n v="3"/>
    <x v="0"/>
    <n v="2"/>
    <n v="1"/>
    <n v="1"/>
    <n v="1"/>
    <n v="1"/>
    <n v="1"/>
    <n v="3"/>
    <n v="1"/>
    <n v="1"/>
    <n v="1"/>
    <n v="2"/>
    <n v="3"/>
    <n v="1"/>
    <n v="2"/>
    <n v="4"/>
    <n v="1"/>
  </r>
  <r>
    <s v="Tennessee Titans"/>
    <n v="2008"/>
    <n v="13"/>
    <n v="3"/>
    <x v="0"/>
    <n v="8.9"/>
    <n v="1.5"/>
    <n v="7.5"/>
    <x v="0"/>
    <n v="2"/>
    <n v="2"/>
    <n v="1"/>
    <n v="1"/>
    <n v="1"/>
    <x v="2"/>
    <n v="1"/>
    <n v="1"/>
    <x v="1"/>
    <n v="1"/>
    <n v="1"/>
    <n v="4"/>
    <n v="4"/>
    <n v="4"/>
    <x v="1"/>
    <n v="1"/>
    <n v="4"/>
    <n v="2"/>
    <n v="3"/>
    <n v="1"/>
    <n v="2"/>
    <n v="1"/>
    <n v="1"/>
    <n v="4"/>
    <n v="4"/>
    <n v="4"/>
    <n v="4"/>
    <x v="1"/>
    <n v="1"/>
    <n v="3"/>
    <n v="1"/>
    <n v="4"/>
    <n v="4"/>
    <n v="2"/>
    <n v="1"/>
    <n v="2"/>
    <n v="4"/>
    <n v="3"/>
    <n v="1"/>
    <n v="1"/>
    <n v="2"/>
    <n v="1"/>
    <n v="4"/>
    <n v="2"/>
  </r>
  <r>
    <s v="Washington Redskins"/>
    <n v="2008"/>
    <n v="8"/>
    <n v="8"/>
    <x v="1"/>
    <n v="-1.8"/>
    <n v="-5.8"/>
    <n v="4.0999999999999996"/>
    <x v="1"/>
    <n v="2"/>
    <n v="3"/>
    <n v="2"/>
    <n v="3"/>
    <n v="2"/>
    <x v="3"/>
    <n v="1"/>
    <n v="2"/>
    <x v="0"/>
    <n v="3"/>
    <n v="3"/>
    <n v="3"/>
    <n v="4"/>
    <n v="2"/>
    <x v="1"/>
    <n v="1"/>
    <n v="4"/>
    <n v="4"/>
    <n v="3"/>
    <n v="1"/>
    <n v="2"/>
    <n v="2"/>
    <n v="2"/>
    <n v="4"/>
    <n v="4"/>
    <n v="3"/>
    <n v="3"/>
    <x v="1"/>
    <n v="1"/>
    <n v="1"/>
    <n v="1"/>
    <n v="1"/>
    <n v="2"/>
    <n v="1"/>
    <n v="1"/>
    <n v="1"/>
    <n v="1"/>
    <n v="1"/>
    <n v="1"/>
    <n v="1"/>
    <n v="2"/>
    <n v="2"/>
    <n v="1"/>
    <n v="1"/>
  </r>
  <r>
    <s v="Arizona Cardinals"/>
    <n v="2007"/>
    <n v="8"/>
    <n v="8"/>
    <x v="1"/>
    <n v="-3.9"/>
    <n v="1.9"/>
    <n v="-5.9"/>
    <x v="3"/>
    <n v="3"/>
    <n v="3"/>
    <n v="3"/>
    <n v="4"/>
    <n v="4"/>
    <x v="0"/>
    <n v="4"/>
    <n v="4"/>
    <x v="0"/>
    <n v="1"/>
    <n v="1"/>
    <n v="1"/>
    <n v="1"/>
    <n v="1"/>
    <x v="0"/>
    <n v="4"/>
    <n v="2"/>
    <n v="3"/>
    <n v="3"/>
    <n v="4"/>
    <n v="4"/>
    <n v="1"/>
    <n v="1"/>
    <n v="4"/>
    <n v="2"/>
    <n v="3"/>
    <n v="3"/>
    <x v="3"/>
    <n v="3"/>
    <n v="3"/>
    <n v="2"/>
    <n v="4"/>
    <n v="4"/>
    <n v="4"/>
    <n v="4"/>
    <n v="3"/>
    <n v="3"/>
    <n v="3"/>
    <n v="1"/>
    <n v="1"/>
    <n v="2"/>
    <n v="2"/>
    <n v="3"/>
    <n v="2"/>
  </r>
  <r>
    <s v="Atlanta Falcons"/>
    <n v="2007"/>
    <n v="4"/>
    <n v="12"/>
    <x v="1"/>
    <n v="-10.6"/>
    <n v="-5.8"/>
    <n v="-4.8"/>
    <x v="1"/>
    <n v="2"/>
    <n v="2"/>
    <n v="1"/>
    <n v="3"/>
    <n v="3"/>
    <x v="3"/>
    <n v="2"/>
    <n v="2"/>
    <x v="1"/>
    <n v="4"/>
    <n v="3"/>
    <n v="1"/>
    <n v="1"/>
    <n v="1"/>
    <x v="0"/>
    <n v="2"/>
    <n v="1"/>
    <n v="2"/>
    <n v="1"/>
    <n v="3"/>
    <n v="4"/>
    <n v="4"/>
    <n v="4"/>
    <n v="2"/>
    <n v="1"/>
    <n v="4"/>
    <n v="4"/>
    <x v="3"/>
    <n v="4"/>
    <n v="4"/>
    <n v="4"/>
    <n v="4"/>
    <n v="3"/>
    <n v="4"/>
    <n v="4"/>
    <n v="4"/>
    <n v="1"/>
    <n v="1"/>
    <n v="4"/>
    <n v="3"/>
    <n v="2"/>
    <n v="3"/>
    <n v="2"/>
    <n v="3"/>
  </r>
  <r>
    <s v="Baltimore Ravens"/>
    <n v="2007"/>
    <n v="5"/>
    <n v="11"/>
    <x v="1"/>
    <n v="-6.7"/>
    <n v="-5"/>
    <n v="-1.8"/>
    <x v="1"/>
    <n v="2"/>
    <n v="4"/>
    <n v="2"/>
    <n v="3"/>
    <n v="3"/>
    <x v="3"/>
    <n v="1"/>
    <n v="3"/>
    <x v="1"/>
    <n v="3"/>
    <n v="3"/>
    <n v="3"/>
    <n v="2"/>
    <n v="2"/>
    <x v="3"/>
    <n v="2"/>
    <n v="4"/>
    <n v="2"/>
    <n v="3"/>
    <n v="2"/>
    <n v="3"/>
    <n v="3"/>
    <n v="3"/>
    <n v="3"/>
    <n v="2"/>
    <n v="3"/>
    <n v="3"/>
    <x v="3"/>
    <n v="1"/>
    <n v="1"/>
    <n v="1"/>
    <n v="2"/>
    <n v="1"/>
    <n v="3"/>
    <n v="4"/>
    <n v="1"/>
    <n v="2"/>
    <n v="1"/>
    <n v="3"/>
    <n v="1"/>
    <n v="1"/>
    <n v="1"/>
    <n v="3"/>
    <n v="1"/>
  </r>
  <r>
    <s v="Buffalo Bills"/>
    <n v="2007"/>
    <n v="7"/>
    <n v="9"/>
    <x v="1"/>
    <n v="-4.0999999999999996"/>
    <n v="-5.6"/>
    <n v="1.5"/>
    <x v="1"/>
    <n v="1"/>
    <n v="1"/>
    <n v="1"/>
    <n v="1"/>
    <n v="1"/>
    <x v="2"/>
    <n v="1"/>
    <n v="1"/>
    <x v="1"/>
    <n v="1"/>
    <n v="2"/>
    <n v="3"/>
    <n v="2"/>
    <n v="1"/>
    <x v="3"/>
    <n v="2"/>
    <n v="1"/>
    <n v="2"/>
    <n v="4"/>
    <n v="3"/>
    <n v="2"/>
    <n v="2"/>
    <n v="3"/>
    <n v="1"/>
    <n v="1"/>
    <n v="3"/>
    <n v="3"/>
    <x v="2"/>
    <n v="4"/>
    <n v="4"/>
    <n v="4"/>
    <n v="4"/>
    <n v="4"/>
    <n v="4"/>
    <n v="2"/>
    <n v="4"/>
    <n v="1"/>
    <n v="1"/>
    <n v="3"/>
    <n v="3"/>
    <n v="3"/>
    <n v="3"/>
    <n v="3"/>
    <n v="3"/>
  </r>
  <r>
    <s v="Carolina Panthers"/>
    <n v="2007"/>
    <n v="7"/>
    <n v="9"/>
    <x v="1"/>
    <n v="-5.8"/>
    <n v="-5.7"/>
    <n v="-0.1"/>
    <x v="1"/>
    <n v="1"/>
    <n v="2"/>
    <n v="1"/>
    <n v="2"/>
    <n v="2"/>
    <x v="2"/>
    <n v="2"/>
    <n v="1"/>
    <x v="2"/>
    <n v="2"/>
    <n v="2"/>
    <n v="3"/>
    <n v="3"/>
    <n v="1"/>
    <x v="3"/>
    <n v="3"/>
    <n v="2"/>
    <n v="2"/>
    <n v="2"/>
    <n v="2"/>
    <n v="1"/>
    <n v="2"/>
    <n v="2"/>
    <n v="2"/>
    <n v="2"/>
    <n v="4"/>
    <n v="4"/>
    <x v="2"/>
    <n v="2"/>
    <n v="4"/>
    <n v="3"/>
    <n v="4"/>
    <n v="3"/>
    <n v="3"/>
    <n v="3"/>
    <n v="2"/>
    <n v="1"/>
    <n v="1"/>
    <n v="3"/>
    <n v="2"/>
    <n v="2"/>
    <n v="3"/>
    <n v="2"/>
    <n v="4"/>
  </r>
  <r>
    <s v="Chicago Bears"/>
    <n v="2007"/>
    <n v="7"/>
    <n v="9"/>
    <x v="1"/>
    <n v="1.2"/>
    <n v="-0.2"/>
    <n v="1.4"/>
    <x v="2"/>
    <n v="1"/>
    <n v="4"/>
    <n v="1"/>
    <n v="3"/>
    <n v="4"/>
    <x v="1"/>
    <n v="2"/>
    <n v="2"/>
    <x v="2"/>
    <n v="3"/>
    <n v="4"/>
    <n v="2"/>
    <n v="1"/>
    <n v="1"/>
    <x v="0"/>
    <n v="4"/>
    <n v="3"/>
    <n v="4"/>
    <n v="4"/>
    <n v="3"/>
    <n v="1"/>
    <n v="3"/>
    <n v="3"/>
    <n v="4"/>
    <n v="4"/>
    <n v="4"/>
    <n v="4"/>
    <x v="2"/>
    <n v="4"/>
    <n v="4"/>
    <n v="3"/>
    <n v="4"/>
    <n v="3"/>
    <n v="4"/>
    <n v="2"/>
    <n v="3"/>
    <n v="4"/>
    <n v="3"/>
    <n v="3"/>
    <n v="3"/>
    <n v="4"/>
    <n v="3"/>
    <n v="2"/>
    <n v="4"/>
  </r>
  <r>
    <s v="Cincinnati Bengals"/>
    <n v="2007"/>
    <n v="7"/>
    <n v="9"/>
    <x v="1"/>
    <n v="-2.4"/>
    <n v="1.6"/>
    <n v="-4"/>
    <x v="0"/>
    <n v="3"/>
    <n v="3"/>
    <n v="3"/>
    <n v="4"/>
    <n v="4"/>
    <x v="0"/>
    <n v="3"/>
    <n v="4"/>
    <x v="0"/>
    <n v="1"/>
    <n v="1"/>
    <n v="2"/>
    <n v="1"/>
    <n v="2"/>
    <x v="0"/>
    <n v="4"/>
    <n v="1"/>
    <n v="1"/>
    <n v="1"/>
    <n v="3"/>
    <n v="4"/>
    <n v="4"/>
    <n v="4"/>
    <n v="1"/>
    <n v="1"/>
    <n v="1"/>
    <n v="1"/>
    <x v="3"/>
    <n v="4"/>
    <n v="3"/>
    <n v="3"/>
    <n v="4"/>
    <n v="3"/>
    <n v="4"/>
    <n v="4"/>
    <n v="4"/>
    <n v="1"/>
    <n v="1"/>
    <n v="3"/>
    <n v="3"/>
    <n v="2"/>
    <n v="2"/>
    <n v="3"/>
    <n v="4"/>
  </r>
  <r>
    <s v="Cleveland Browns"/>
    <n v="2007"/>
    <n v="10"/>
    <n v="6"/>
    <x v="1"/>
    <n v="-1.1000000000000001"/>
    <n v="2.2000000000000002"/>
    <n v="-3.3"/>
    <x v="3"/>
    <n v="3"/>
    <n v="2"/>
    <n v="3"/>
    <n v="2"/>
    <n v="3"/>
    <x v="1"/>
    <n v="4"/>
    <n v="3"/>
    <x v="1"/>
    <n v="1"/>
    <n v="1"/>
    <n v="3"/>
    <n v="3"/>
    <n v="2"/>
    <x v="1"/>
    <n v="4"/>
    <n v="1"/>
    <n v="1"/>
    <n v="4"/>
    <n v="3"/>
    <n v="4"/>
    <n v="3"/>
    <n v="3"/>
    <n v="2"/>
    <n v="2"/>
    <n v="2"/>
    <n v="2"/>
    <x v="2"/>
    <n v="4"/>
    <n v="4"/>
    <n v="4"/>
    <n v="4"/>
    <n v="4"/>
    <n v="4"/>
    <n v="4"/>
    <n v="4"/>
    <n v="1"/>
    <n v="1"/>
    <n v="3"/>
    <n v="4"/>
    <n v="1"/>
    <n v="3"/>
    <n v="3"/>
    <n v="2"/>
  </r>
  <r>
    <s v="Dallas Cowboys"/>
    <n v="2007"/>
    <n v="13"/>
    <n v="3"/>
    <x v="0"/>
    <n v="9.5"/>
    <n v="7.8"/>
    <n v="1.7"/>
    <x v="3"/>
    <n v="4"/>
    <n v="2"/>
    <n v="4"/>
    <n v="3"/>
    <n v="3"/>
    <x v="0"/>
    <n v="4"/>
    <n v="4"/>
    <x v="3"/>
    <n v="1"/>
    <n v="2"/>
    <n v="2"/>
    <n v="2"/>
    <n v="3"/>
    <x v="0"/>
    <n v="3"/>
    <n v="1"/>
    <n v="1"/>
    <n v="1"/>
    <n v="2"/>
    <n v="2"/>
    <n v="3"/>
    <n v="3"/>
    <n v="3"/>
    <n v="3"/>
    <n v="1"/>
    <n v="2"/>
    <x v="0"/>
    <n v="2"/>
    <n v="3"/>
    <n v="3"/>
    <n v="4"/>
    <n v="4"/>
    <n v="3"/>
    <n v="2"/>
    <n v="4"/>
    <n v="4"/>
    <n v="4"/>
    <n v="1"/>
    <n v="1"/>
    <n v="2"/>
    <n v="2"/>
    <n v="3"/>
    <n v="2"/>
  </r>
  <r>
    <s v="Denver Broncos"/>
    <n v="2007"/>
    <n v="7"/>
    <n v="9"/>
    <x v="1"/>
    <n v="-3.9"/>
    <n v="-0.2"/>
    <n v="-3.8"/>
    <x v="2"/>
    <n v="3"/>
    <n v="2"/>
    <n v="3"/>
    <n v="3"/>
    <n v="2"/>
    <x v="1"/>
    <n v="2"/>
    <n v="3"/>
    <x v="0"/>
    <n v="2"/>
    <n v="2"/>
    <n v="2"/>
    <n v="3"/>
    <n v="2"/>
    <x v="3"/>
    <n v="2"/>
    <n v="3"/>
    <n v="1"/>
    <n v="1"/>
    <n v="1"/>
    <n v="1"/>
    <n v="2"/>
    <n v="3"/>
    <n v="3"/>
    <n v="3"/>
    <n v="1"/>
    <n v="2"/>
    <x v="3"/>
    <n v="3"/>
    <n v="2"/>
    <n v="3"/>
    <n v="1"/>
    <n v="1"/>
    <n v="1"/>
    <n v="3"/>
    <n v="2"/>
    <n v="2"/>
    <n v="2"/>
    <n v="4"/>
    <n v="4"/>
    <n v="3"/>
    <n v="4"/>
    <n v="2"/>
    <n v="4"/>
  </r>
  <r>
    <s v="Detroit Lions"/>
    <n v="2007"/>
    <n v="7"/>
    <n v="9"/>
    <x v="1"/>
    <n v="-3.6"/>
    <n v="1.4"/>
    <n v="-5"/>
    <x v="0"/>
    <n v="2"/>
    <n v="1"/>
    <n v="3"/>
    <n v="4"/>
    <n v="4"/>
    <x v="0"/>
    <n v="2"/>
    <n v="4"/>
    <x v="1"/>
    <n v="4"/>
    <n v="4"/>
    <n v="1"/>
    <n v="1"/>
    <n v="2"/>
    <x v="0"/>
    <n v="4"/>
    <n v="3"/>
    <n v="1"/>
    <n v="1"/>
    <n v="3"/>
    <n v="4"/>
    <n v="2"/>
    <n v="2"/>
    <n v="4"/>
    <n v="4"/>
    <n v="1"/>
    <n v="2"/>
    <x v="3"/>
    <n v="4"/>
    <n v="4"/>
    <n v="4"/>
    <n v="4"/>
    <n v="4"/>
    <n v="4"/>
    <n v="4"/>
    <n v="4"/>
    <n v="3"/>
    <n v="3"/>
    <n v="3"/>
    <n v="3"/>
    <n v="4"/>
    <n v="4"/>
    <n v="3"/>
    <n v="4"/>
  </r>
  <r>
    <s v="Green Bay Packers"/>
    <n v="2007"/>
    <n v="13"/>
    <n v="3"/>
    <x v="0"/>
    <n v="9"/>
    <n v="5.7"/>
    <n v="3.3"/>
    <x v="3"/>
    <n v="4"/>
    <n v="2"/>
    <n v="3"/>
    <n v="4"/>
    <n v="4"/>
    <x v="0"/>
    <n v="4"/>
    <n v="4"/>
    <x v="3"/>
    <n v="1"/>
    <n v="1"/>
    <n v="1"/>
    <n v="1"/>
    <n v="2"/>
    <x v="0"/>
    <n v="2"/>
    <n v="1"/>
    <n v="4"/>
    <n v="4"/>
    <n v="2"/>
    <n v="2"/>
    <n v="3"/>
    <n v="3"/>
    <n v="4"/>
    <n v="4"/>
    <n v="1"/>
    <n v="2"/>
    <x v="1"/>
    <n v="2"/>
    <n v="2"/>
    <n v="2"/>
    <n v="2"/>
    <n v="3"/>
    <n v="2"/>
    <n v="3"/>
    <n v="3"/>
    <n v="3"/>
    <n v="2"/>
    <n v="2"/>
    <n v="2"/>
    <n v="1"/>
    <n v="1"/>
    <n v="3"/>
    <n v="1"/>
  </r>
  <r>
    <s v="Houston Texans"/>
    <n v="2007"/>
    <n v="8"/>
    <n v="8"/>
    <x v="1"/>
    <n v="0"/>
    <n v="2.5"/>
    <n v="-2.5"/>
    <x v="0"/>
    <n v="3"/>
    <n v="1"/>
    <n v="2"/>
    <n v="4"/>
    <n v="3"/>
    <x v="1"/>
    <n v="3"/>
    <n v="3"/>
    <x v="0"/>
    <n v="1"/>
    <n v="2"/>
    <n v="2"/>
    <n v="1"/>
    <n v="2"/>
    <x v="3"/>
    <n v="4"/>
    <n v="4"/>
    <n v="2"/>
    <n v="2"/>
    <n v="4"/>
    <n v="4"/>
    <n v="1"/>
    <n v="1"/>
    <n v="4"/>
    <n v="4"/>
    <n v="1"/>
    <n v="1"/>
    <x v="3"/>
    <n v="3"/>
    <n v="2"/>
    <n v="4"/>
    <n v="4"/>
    <n v="4"/>
    <n v="4"/>
    <n v="3"/>
    <n v="4"/>
    <n v="2"/>
    <n v="2"/>
    <n v="2"/>
    <n v="2"/>
    <n v="3"/>
    <n v="3"/>
    <n v="1"/>
    <n v="3"/>
  </r>
  <r>
    <s v="Indianapolis Colts"/>
    <n v="2007"/>
    <n v="13"/>
    <n v="3"/>
    <x v="0"/>
    <n v="12"/>
    <n v="6.6"/>
    <n v="5.4"/>
    <x v="3"/>
    <n v="4"/>
    <n v="3"/>
    <n v="4"/>
    <n v="4"/>
    <n v="3"/>
    <x v="0"/>
    <n v="4"/>
    <n v="4"/>
    <x v="3"/>
    <n v="1"/>
    <n v="1"/>
    <n v="3"/>
    <n v="2"/>
    <n v="4"/>
    <x v="2"/>
    <n v="2"/>
    <n v="1"/>
    <n v="1"/>
    <n v="2"/>
    <n v="1"/>
    <n v="1"/>
    <n v="4"/>
    <n v="4"/>
    <n v="1"/>
    <n v="1"/>
    <n v="1"/>
    <n v="1"/>
    <x v="1"/>
    <n v="1"/>
    <n v="2"/>
    <n v="2"/>
    <n v="3"/>
    <n v="2"/>
    <n v="1"/>
    <n v="1"/>
    <n v="1"/>
    <n v="1"/>
    <n v="1"/>
    <n v="3"/>
    <n v="2"/>
    <n v="1"/>
    <n v="3"/>
    <n v="4"/>
    <n v="4"/>
  </r>
  <r>
    <s v="Jacksonville Jaguars"/>
    <n v="2007"/>
    <n v="11"/>
    <n v="5"/>
    <x v="0"/>
    <n v="6.8"/>
    <n v="4.8"/>
    <n v="2"/>
    <x v="3"/>
    <n v="4"/>
    <n v="3"/>
    <n v="4"/>
    <n v="2"/>
    <n v="1"/>
    <x v="1"/>
    <n v="4"/>
    <n v="3"/>
    <x v="3"/>
    <n v="2"/>
    <n v="1"/>
    <n v="4"/>
    <n v="4"/>
    <n v="4"/>
    <x v="2"/>
    <n v="1"/>
    <n v="3"/>
    <n v="2"/>
    <n v="3"/>
    <n v="1"/>
    <n v="1"/>
    <n v="2"/>
    <n v="3"/>
    <n v="1"/>
    <n v="1"/>
    <n v="1"/>
    <n v="1"/>
    <x v="0"/>
    <n v="2"/>
    <n v="1"/>
    <n v="2"/>
    <n v="3"/>
    <n v="3"/>
    <n v="3"/>
    <n v="2"/>
    <n v="3"/>
    <n v="3"/>
    <n v="3"/>
    <n v="1"/>
    <n v="2"/>
    <n v="2"/>
    <n v="2"/>
    <n v="4"/>
    <n v="2"/>
  </r>
  <r>
    <s v="Kansas City Chiefs"/>
    <n v="2007"/>
    <n v="4"/>
    <n v="12"/>
    <x v="1"/>
    <n v="-5.5"/>
    <n v="-7.4"/>
    <n v="1.9"/>
    <x v="1"/>
    <n v="1"/>
    <n v="2"/>
    <n v="1"/>
    <n v="3"/>
    <n v="4"/>
    <x v="3"/>
    <n v="2"/>
    <n v="2"/>
    <x v="2"/>
    <n v="4"/>
    <n v="4"/>
    <n v="1"/>
    <n v="1"/>
    <n v="1"/>
    <x v="0"/>
    <n v="4"/>
    <n v="3"/>
    <n v="3"/>
    <n v="2"/>
    <n v="3"/>
    <n v="1"/>
    <n v="2"/>
    <n v="1"/>
    <n v="2"/>
    <n v="1"/>
    <n v="4"/>
    <n v="4"/>
    <x v="0"/>
    <n v="2"/>
    <n v="2"/>
    <n v="1"/>
    <n v="1"/>
    <n v="1"/>
    <n v="1"/>
    <n v="1"/>
    <n v="1"/>
    <n v="3"/>
    <n v="3"/>
    <n v="4"/>
    <n v="4"/>
    <n v="2"/>
    <n v="3"/>
    <n v="2"/>
    <n v="1"/>
  </r>
  <r>
    <s v="Miami Dolphins"/>
    <n v="2007"/>
    <n v="1"/>
    <n v="15"/>
    <x v="1"/>
    <n v="-8.4"/>
    <n v="-4.0999999999999996"/>
    <n v="-4.2"/>
    <x v="1"/>
    <n v="1"/>
    <n v="2"/>
    <n v="2"/>
    <n v="3"/>
    <n v="4"/>
    <x v="3"/>
    <n v="1"/>
    <n v="2"/>
    <x v="2"/>
    <n v="3"/>
    <n v="4"/>
    <n v="1"/>
    <n v="1"/>
    <n v="3"/>
    <x v="1"/>
    <n v="2"/>
    <n v="3"/>
    <n v="1"/>
    <n v="1"/>
    <n v="4"/>
    <n v="3"/>
    <n v="1"/>
    <n v="1"/>
    <n v="2"/>
    <n v="2"/>
    <n v="2"/>
    <n v="3"/>
    <x v="3"/>
    <n v="3"/>
    <n v="2"/>
    <n v="4"/>
    <n v="1"/>
    <n v="1"/>
    <n v="1"/>
    <n v="4"/>
    <n v="2"/>
    <n v="1"/>
    <n v="1"/>
    <n v="4"/>
    <n v="4"/>
    <n v="4"/>
    <n v="4"/>
    <n v="2"/>
    <n v="1"/>
  </r>
  <r>
    <s v="Minnesota Vikings"/>
    <n v="2007"/>
    <n v="8"/>
    <n v="8"/>
    <x v="1"/>
    <n v="3.8"/>
    <n v="1.4"/>
    <n v="2.4"/>
    <x v="0"/>
    <n v="3"/>
    <n v="1"/>
    <n v="2"/>
    <n v="1"/>
    <n v="1"/>
    <x v="2"/>
    <n v="1"/>
    <n v="1"/>
    <x v="1"/>
    <n v="3"/>
    <n v="2"/>
    <n v="4"/>
    <n v="4"/>
    <n v="4"/>
    <x v="2"/>
    <n v="2"/>
    <n v="3"/>
    <n v="1"/>
    <n v="2"/>
    <n v="2"/>
    <n v="2"/>
    <n v="1"/>
    <n v="1"/>
    <n v="4"/>
    <n v="4"/>
    <n v="3"/>
    <n v="4"/>
    <x v="0"/>
    <n v="3"/>
    <n v="4"/>
    <n v="3"/>
    <n v="4"/>
    <n v="4"/>
    <n v="4"/>
    <n v="3"/>
    <n v="4"/>
    <n v="3"/>
    <n v="4"/>
    <n v="1"/>
    <n v="1"/>
    <n v="1"/>
    <n v="1"/>
    <n v="2"/>
    <n v="4"/>
  </r>
  <r>
    <s v="New England Patriots"/>
    <n v="2007"/>
    <n v="16"/>
    <n v="0"/>
    <x v="0"/>
    <n v="20.100000000000001"/>
    <n v="15.9"/>
    <n v="4.2"/>
    <x v="3"/>
    <n v="4"/>
    <n v="4"/>
    <n v="4"/>
    <n v="4"/>
    <n v="4"/>
    <x v="0"/>
    <n v="4"/>
    <n v="4"/>
    <x v="3"/>
    <n v="1"/>
    <n v="1"/>
    <n v="3"/>
    <n v="3"/>
    <n v="3"/>
    <x v="2"/>
    <n v="1"/>
    <n v="1"/>
    <n v="2"/>
    <n v="3"/>
    <n v="1"/>
    <n v="2"/>
    <n v="3"/>
    <n v="3"/>
    <n v="1"/>
    <n v="1"/>
    <n v="1"/>
    <n v="1"/>
    <x v="1"/>
    <n v="1"/>
    <n v="1"/>
    <n v="1"/>
    <n v="2"/>
    <n v="3"/>
    <n v="1"/>
    <n v="3"/>
    <n v="2"/>
    <n v="4"/>
    <n v="4"/>
    <n v="1"/>
    <n v="1"/>
    <n v="1"/>
    <n v="2"/>
    <n v="3"/>
    <n v="3"/>
  </r>
  <r>
    <s v="New Orleans Saints"/>
    <n v="2007"/>
    <n v="7"/>
    <n v="9"/>
    <x v="1"/>
    <n v="-2.5"/>
    <n v="1.9"/>
    <n v="-4.5"/>
    <x v="0"/>
    <n v="4"/>
    <n v="4"/>
    <n v="4"/>
    <n v="4"/>
    <n v="4"/>
    <x v="0"/>
    <n v="4"/>
    <n v="4"/>
    <x v="3"/>
    <n v="1"/>
    <n v="1"/>
    <n v="1"/>
    <n v="1"/>
    <n v="3"/>
    <x v="3"/>
    <n v="3"/>
    <n v="2"/>
    <n v="1"/>
    <n v="1"/>
    <n v="3"/>
    <n v="3"/>
    <n v="1"/>
    <n v="1"/>
    <n v="2"/>
    <n v="1"/>
    <n v="1"/>
    <n v="2"/>
    <x v="3"/>
    <n v="4"/>
    <n v="1"/>
    <n v="2"/>
    <n v="3"/>
    <n v="3"/>
    <n v="4"/>
    <n v="4"/>
    <n v="4"/>
    <n v="2"/>
    <n v="2"/>
    <n v="1"/>
    <n v="2"/>
    <n v="1"/>
    <n v="1"/>
    <n v="1"/>
    <n v="2"/>
  </r>
  <r>
    <s v="New York Giants"/>
    <n v="2007"/>
    <n v="10"/>
    <n v="6"/>
    <x v="0"/>
    <n v="3.3"/>
    <n v="2.8"/>
    <n v="0.4"/>
    <x v="0"/>
    <n v="3"/>
    <n v="4"/>
    <n v="3"/>
    <n v="2"/>
    <n v="3"/>
    <x v="3"/>
    <n v="3"/>
    <n v="2"/>
    <x v="2"/>
    <n v="1"/>
    <n v="3"/>
    <n v="3"/>
    <n v="4"/>
    <n v="3"/>
    <x v="2"/>
    <n v="4"/>
    <n v="3"/>
    <n v="3"/>
    <n v="3"/>
    <n v="3"/>
    <n v="3"/>
    <n v="3"/>
    <n v="2"/>
    <n v="1"/>
    <n v="2"/>
    <n v="2"/>
    <n v="2"/>
    <x v="2"/>
    <n v="1"/>
    <n v="2"/>
    <n v="2"/>
    <n v="2"/>
    <n v="3"/>
    <n v="2"/>
    <n v="3"/>
    <n v="3"/>
    <n v="4"/>
    <n v="4"/>
    <n v="1"/>
    <n v="1"/>
    <n v="2"/>
    <n v="1"/>
    <n v="2"/>
    <n v="2"/>
  </r>
  <r>
    <s v="New York Jets"/>
    <n v="2007"/>
    <n v="4"/>
    <n v="12"/>
    <x v="1"/>
    <n v="-3.7"/>
    <n v="-4"/>
    <n v="0.3"/>
    <x v="1"/>
    <n v="1"/>
    <n v="3"/>
    <n v="2"/>
    <n v="2"/>
    <n v="2"/>
    <x v="3"/>
    <n v="1"/>
    <n v="3"/>
    <x v="1"/>
    <n v="4"/>
    <n v="4"/>
    <n v="3"/>
    <n v="2"/>
    <n v="1"/>
    <x v="3"/>
    <n v="3"/>
    <n v="1"/>
    <n v="1"/>
    <n v="1"/>
    <n v="4"/>
    <n v="4"/>
    <n v="4"/>
    <n v="4"/>
    <n v="3"/>
    <n v="2"/>
    <n v="2"/>
    <n v="2"/>
    <x v="2"/>
    <n v="3"/>
    <n v="3"/>
    <n v="4"/>
    <n v="1"/>
    <n v="1"/>
    <n v="2"/>
    <n v="1"/>
    <n v="2"/>
    <n v="1"/>
    <n v="2"/>
    <n v="4"/>
    <n v="4"/>
    <n v="3"/>
    <n v="4"/>
    <n v="2"/>
    <n v="1"/>
  </r>
  <r>
    <s v="Oakland Raiders"/>
    <n v="2007"/>
    <n v="4"/>
    <n v="12"/>
    <x v="1"/>
    <n v="-6"/>
    <n v="-3.5"/>
    <n v="-2.5"/>
    <x v="1"/>
    <n v="1"/>
    <n v="2"/>
    <n v="1"/>
    <n v="1"/>
    <n v="1"/>
    <x v="2"/>
    <n v="2"/>
    <n v="1"/>
    <x v="2"/>
    <n v="3"/>
    <n v="3"/>
    <n v="4"/>
    <n v="4"/>
    <n v="2"/>
    <x v="2"/>
    <n v="4"/>
    <n v="4"/>
    <n v="3"/>
    <n v="1"/>
    <n v="4"/>
    <n v="4"/>
    <n v="1"/>
    <n v="1"/>
    <n v="4"/>
    <n v="4"/>
    <n v="2"/>
    <n v="4"/>
    <x v="3"/>
    <n v="3"/>
    <n v="1"/>
    <n v="2"/>
    <n v="1"/>
    <n v="1"/>
    <n v="2"/>
    <n v="1"/>
    <n v="1"/>
    <n v="1"/>
    <n v="1"/>
    <n v="4"/>
    <n v="4"/>
    <n v="4"/>
    <n v="4"/>
    <n v="3"/>
    <n v="1"/>
  </r>
  <r>
    <s v="Philadelphia Eagles"/>
    <n v="2007"/>
    <n v="8"/>
    <n v="8"/>
    <x v="1"/>
    <n v="5.3"/>
    <n v="0.1"/>
    <n v="5.0999999999999996"/>
    <x v="2"/>
    <n v="4"/>
    <n v="4"/>
    <n v="4"/>
    <n v="4"/>
    <n v="4"/>
    <x v="1"/>
    <n v="3"/>
    <n v="3"/>
    <x v="0"/>
    <n v="4"/>
    <n v="3"/>
    <n v="2"/>
    <n v="3"/>
    <n v="2"/>
    <x v="2"/>
    <n v="2"/>
    <n v="2"/>
    <n v="3"/>
    <n v="3"/>
    <n v="3"/>
    <n v="3"/>
    <n v="4"/>
    <n v="4"/>
    <n v="2"/>
    <n v="1"/>
    <n v="2"/>
    <n v="2"/>
    <x v="1"/>
    <n v="2"/>
    <n v="2"/>
    <n v="2"/>
    <n v="2"/>
    <n v="3"/>
    <n v="3"/>
    <n v="1"/>
    <n v="3"/>
    <n v="3"/>
    <n v="3"/>
    <n v="1"/>
    <n v="1"/>
    <n v="1"/>
    <n v="1"/>
    <n v="1"/>
    <n v="1"/>
  </r>
  <r>
    <s v="Pittsburgh Steelers"/>
    <n v="2007"/>
    <n v="10"/>
    <n v="6"/>
    <x v="0"/>
    <n v="5.2"/>
    <n v="0.9"/>
    <n v="4.3"/>
    <x v="3"/>
    <n v="3"/>
    <n v="2"/>
    <n v="3"/>
    <n v="1"/>
    <n v="1"/>
    <x v="3"/>
    <n v="4"/>
    <n v="3"/>
    <x v="3"/>
    <n v="4"/>
    <n v="4"/>
    <n v="4"/>
    <n v="4"/>
    <n v="1"/>
    <x v="1"/>
    <n v="2"/>
    <n v="1"/>
    <n v="3"/>
    <n v="2"/>
    <n v="1"/>
    <n v="1"/>
    <n v="3"/>
    <n v="3"/>
    <n v="1"/>
    <n v="1"/>
    <n v="1"/>
    <n v="2"/>
    <x v="1"/>
    <n v="1"/>
    <n v="1"/>
    <n v="1"/>
    <n v="1"/>
    <n v="3"/>
    <n v="1"/>
    <n v="3"/>
    <n v="1"/>
    <n v="3"/>
    <n v="3"/>
    <n v="1"/>
    <n v="1"/>
    <n v="1"/>
    <n v="1"/>
    <n v="1"/>
    <n v="3"/>
  </r>
  <r>
    <s v="San Diego Chargers"/>
    <n v="2007"/>
    <n v="11"/>
    <n v="5"/>
    <x v="0"/>
    <n v="8.8000000000000007"/>
    <n v="4.3"/>
    <n v="4.5"/>
    <x v="3"/>
    <n v="2"/>
    <n v="2"/>
    <n v="2"/>
    <n v="1"/>
    <n v="1"/>
    <x v="3"/>
    <n v="3"/>
    <n v="2"/>
    <x v="1"/>
    <n v="1"/>
    <n v="2"/>
    <n v="4"/>
    <n v="3"/>
    <n v="4"/>
    <x v="1"/>
    <n v="2"/>
    <n v="1"/>
    <n v="2"/>
    <n v="2"/>
    <n v="1"/>
    <n v="1"/>
    <n v="2"/>
    <n v="2"/>
    <n v="2"/>
    <n v="2"/>
    <n v="3"/>
    <n v="4"/>
    <x v="1"/>
    <n v="2"/>
    <n v="3"/>
    <n v="2"/>
    <n v="4"/>
    <n v="4"/>
    <n v="3"/>
    <n v="2"/>
    <n v="3"/>
    <n v="4"/>
    <n v="4"/>
    <n v="2"/>
    <n v="2"/>
    <n v="2"/>
    <n v="2"/>
    <n v="4"/>
    <n v="4"/>
  </r>
  <r>
    <s v="San Francisco 49ers"/>
    <n v="2007"/>
    <n v="5"/>
    <n v="11"/>
    <x v="1"/>
    <n v="-11.9"/>
    <n v="-9.9"/>
    <n v="-2"/>
    <x v="1"/>
    <n v="1"/>
    <n v="1"/>
    <n v="1"/>
    <n v="1"/>
    <n v="2"/>
    <x v="2"/>
    <n v="1"/>
    <n v="1"/>
    <x v="2"/>
    <n v="4"/>
    <n v="4"/>
    <n v="1"/>
    <n v="1"/>
    <n v="1"/>
    <x v="0"/>
    <n v="3"/>
    <n v="4"/>
    <n v="4"/>
    <n v="4"/>
    <n v="3"/>
    <n v="4"/>
    <n v="1"/>
    <n v="1"/>
    <n v="1"/>
    <n v="1"/>
    <n v="4"/>
    <n v="4"/>
    <x v="2"/>
    <n v="4"/>
    <n v="4"/>
    <n v="3"/>
    <n v="4"/>
    <n v="3"/>
    <n v="4"/>
    <n v="3"/>
    <n v="4"/>
    <n v="2"/>
    <n v="1"/>
    <n v="4"/>
    <n v="3"/>
    <n v="1"/>
    <n v="2"/>
    <n v="1"/>
    <n v="2"/>
  </r>
  <r>
    <s v="Seattle Seahawks"/>
    <n v="2007"/>
    <n v="10"/>
    <n v="6"/>
    <x v="0"/>
    <n v="1.8"/>
    <n v="0.8"/>
    <n v="0.9"/>
    <x v="3"/>
    <n v="3"/>
    <n v="4"/>
    <n v="4"/>
    <n v="4"/>
    <n v="4"/>
    <x v="0"/>
    <n v="4"/>
    <n v="4"/>
    <x v="3"/>
    <n v="3"/>
    <n v="2"/>
    <n v="2"/>
    <n v="2"/>
    <n v="1"/>
    <x v="3"/>
    <n v="1"/>
    <n v="2"/>
    <n v="4"/>
    <n v="4"/>
    <n v="1"/>
    <n v="1"/>
    <n v="2"/>
    <n v="3"/>
    <n v="4"/>
    <n v="4"/>
    <n v="4"/>
    <n v="3"/>
    <x v="1"/>
    <n v="2"/>
    <n v="4"/>
    <n v="1"/>
    <n v="3"/>
    <n v="4"/>
    <n v="3"/>
    <n v="1"/>
    <n v="3"/>
    <n v="4"/>
    <n v="4"/>
    <n v="2"/>
    <n v="2"/>
    <n v="3"/>
    <n v="1"/>
    <n v="4"/>
    <n v="3"/>
  </r>
  <r>
    <s v="St. Louis Rams"/>
    <n v="2007"/>
    <n v="3"/>
    <n v="13"/>
    <x v="1"/>
    <n v="-13"/>
    <n v="-6.5"/>
    <n v="-6.5"/>
    <x v="1"/>
    <n v="1"/>
    <n v="3"/>
    <n v="2"/>
    <n v="3"/>
    <n v="4"/>
    <x v="3"/>
    <n v="2"/>
    <n v="4"/>
    <x v="2"/>
    <n v="4"/>
    <n v="4"/>
    <n v="1"/>
    <n v="1"/>
    <n v="1"/>
    <x v="0"/>
    <n v="4"/>
    <n v="1"/>
    <n v="1"/>
    <n v="3"/>
    <n v="4"/>
    <n v="4"/>
    <n v="1"/>
    <n v="1"/>
    <n v="4"/>
    <n v="4"/>
    <n v="3"/>
    <n v="4"/>
    <x v="3"/>
    <n v="3"/>
    <n v="3"/>
    <n v="4"/>
    <n v="3"/>
    <n v="3"/>
    <n v="3"/>
    <n v="3"/>
    <n v="4"/>
    <n v="2"/>
    <n v="3"/>
    <n v="3"/>
    <n v="3"/>
    <n v="3"/>
    <n v="3"/>
    <n v="3"/>
    <n v="1"/>
  </r>
  <r>
    <s v="Tampa Bay Buccaneers"/>
    <n v="2007"/>
    <n v="9"/>
    <n v="7"/>
    <x v="0"/>
    <n v="1.2"/>
    <n v="-2.2999999999999998"/>
    <n v="3.6"/>
    <x v="2"/>
    <n v="3"/>
    <n v="2"/>
    <n v="2"/>
    <n v="3"/>
    <n v="2"/>
    <x v="1"/>
    <n v="2"/>
    <n v="2"/>
    <x v="3"/>
    <n v="3"/>
    <n v="3"/>
    <n v="3"/>
    <n v="3"/>
    <n v="3"/>
    <x v="1"/>
    <n v="1"/>
    <n v="2"/>
    <n v="4"/>
    <n v="3"/>
    <n v="1"/>
    <n v="1"/>
    <n v="4"/>
    <n v="4"/>
    <n v="2"/>
    <n v="1"/>
    <n v="3"/>
    <n v="3"/>
    <x v="1"/>
    <n v="1"/>
    <n v="2"/>
    <n v="1"/>
    <n v="2"/>
    <n v="1"/>
    <n v="1"/>
    <n v="1"/>
    <n v="1"/>
    <n v="2"/>
    <n v="2"/>
    <n v="3"/>
    <n v="2"/>
    <n v="2"/>
    <n v="2"/>
    <n v="2"/>
    <n v="4"/>
  </r>
  <r>
    <s v="Tennessee Titans"/>
    <n v="2007"/>
    <n v="10"/>
    <n v="6"/>
    <x v="0"/>
    <n v="0.7"/>
    <n v="-2.9"/>
    <n v="3.6"/>
    <x v="2"/>
    <n v="2"/>
    <n v="4"/>
    <n v="3"/>
    <n v="2"/>
    <n v="1"/>
    <x v="2"/>
    <n v="1"/>
    <n v="2"/>
    <x v="2"/>
    <n v="2"/>
    <n v="2"/>
    <n v="4"/>
    <n v="4"/>
    <n v="3"/>
    <x v="2"/>
    <n v="3"/>
    <n v="4"/>
    <n v="3"/>
    <n v="3"/>
    <n v="1"/>
    <n v="1"/>
    <n v="4"/>
    <n v="4"/>
    <n v="4"/>
    <n v="4"/>
    <n v="2"/>
    <n v="2"/>
    <x v="1"/>
    <n v="1"/>
    <n v="2"/>
    <n v="1"/>
    <n v="4"/>
    <n v="4"/>
    <n v="2"/>
    <n v="2"/>
    <n v="2"/>
    <n v="3"/>
    <n v="3"/>
    <n v="1"/>
    <n v="1"/>
    <n v="2"/>
    <n v="1"/>
    <n v="4"/>
    <n v="3"/>
  </r>
  <r>
    <s v="Washington Redskins"/>
    <n v="2007"/>
    <n v="9"/>
    <n v="7"/>
    <x v="0"/>
    <n v="4.5"/>
    <n v="0.2"/>
    <n v="4.3"/>
    <x v="2"/>
    <n v="3"/>
    <n v="4"/>
    <n v="3"/>
    <n v="3"/>
    <n v="3"/>
    <x v="1"/>
    <n v="2"/>
    <n v="3"/>
    <x v="0"/>
    <n v="2"/>
    <n v="1"/>
    <n v="4"/>
    <n v="3"/>
    <n v="3"/>
    <x v="1"/>
    <n v="1"/>
    <n v="4"/>
    <n v="3"/>
    <n v="2"/>
    <n v="2"/>
    <n v="3"/>
    <n v="3"/>
    <n v="3"/>
    <n v="4"/>
    <n v="4"/>
    <n v="2"/>
    <n v="2"/>
    <x v="0"/>
    <n v="1"/>
    <n v="3"/>
    <n v="2"/>
    <n v="4"/>
    <n v="4"/>
    <n v="3"/>
    <n v="2"/>
    <n v="2"/>
    <n v="2"/>
    <n v="2"/>
    <n v="1"/>
    <n v="1"/>
    <n v="1"/>
    <n v="2"/>
    <n v="2"/>
    <n v="2"/>
  </r>
  <r>
    <s v="Arizona Cardinals"/>
    <n v="2006"/>
    <n v="5"/>
    <n v="11"/>
    <x v="1"/>
    <n v="-6.9"/>
    <n v="-2.6"/>
    <n v="-4.3"/>
    <x v="2"/>
    <n v="2"/>
    <n v="2"/>
    <n v="3"/>
    <n v="3"/>
    <n v="3"/>
    <x v="1"/>
    <n v="2"/>
    <n v="3"/>
    <x v="1"/>
    <n v="3"/>
    <n v="3"/>
    <n v="2"/>
    <n v="1"/>
    <n v="2"/>
    <x v="3"/>
    <n v="3"/>
    <n v="3"/>
    <n v="1"/>
    <n v="2"/>
    <n v="3"/>
    <n v="4"/>
    <n v="3"/>
    <n v="4"/>
    <n v="4"/>
    <n v="2"/>
    <n v="1"/>
    <n v="2"/>
    <x v="3"/>
    <n v="4"/>
    <n v="3"/>
    <n v="4"/>
    <n v="3"/>
    <n v="3"/>
    <n v="4"/>
    <n v="2"/>
    <n v="3"/>
    <n v="3"/>
    <n v="3"/>
    <n v="3"/>
    <n v="3"/>
    <n v="3"/>
    <n v="4"/>
    <n v="2"/>
    <n v="4"/>
  </r>
  <r>
    <s v="Atlanta Falcons"/>
    <n v="2006"/>
    <n v="7"/>
    <n v="9"/>
    <x v="1"/>
    <n v="-3"/>
    <n v="-2.8"/>
    <n v="-0.2"/>
    <x v="2"/>
    <n v="3"/>
    <n v="2"/>
    <n v="2"/>
    <n v="1"/>
    <n v="1"/>
    <x v="2"/>
    <n v="2"/>
    <n v="1"/>
    <x v="1"/>
    <n v="4"/>
    <n v="4"/>
    <n v="4"/>
    <n v="4"/>
    <n v="1"/>
    <x v="2"/>
    <n v="2"/>
    <n v="1"/>
    <n v="3"/>
    <n v="2"/>
    <n v="3"/>
    <n v="3"/>
    <n v="3"/>
    <n v="2"/>
    <n v="3"/>
    <n v="2"/>
    <n v="3"/>
    <n v="3"/>
    <x v="0"/>
    <n v="3"/>
    <n v="2"/>
    <n v="3"/>
    <n v="3"/>
    <n v="2"/>
    <n v="4"/>
    <n v="2"/>
    <n v="3"/>
    <n v="3"/>
    <n v="3"/>
    <n v="2"/>
    <n v="2"/>
    <n v="3"/>
    <n v="2"/>
    <n v="1"/>
    <n v="3"/>
  </r>
  <r>
    <s v="Baltimore Ravens"/>
    <n v="2006"/>
    <n v="13"/>
    <n v="3"/>
    <x v="0"/>
    <n v="9.3000000000000007"/>
    <n v="1.5"/>
    <n v="7.8"/>
    <x v="0"/>
    <n v="2"/>
    <n v="3"/>
    <n v="2"/>
    <n v="3"/>
    <n v="2"/>
    <x v="1"/>
    <n v="2"/>
    <n v="3"/>
    <x v="0"/>
    <n v="1"/>
    <n v="1"/>
    <n v="3"/>
    <n v="2"/>
    <n v="2"/>
    <x v="3"/>
    <n v="2"/>
    <n v="1"/>
    <n v="4"/>
    <n v="3"/>
    <n v="1"/>
    <n v="1"/>
    <n v="4"/>
    <n v="4"/>
    <n v="1"/>
    <n v="2"/>
    <n v="4"/>
    <n v="4"/>
    <x v="1"/>
    <n v="1"/>
    <n v="1"/>
    <n v="1"/>
    <n v="1"/>
    <n v="2"/>
    <n v="1"/>
    <n v="1"/>
    <n v="1"/>
    <n v="4"/>
    <n v="4"/>
    <n v="1"/>
    <n v="1"/>
    <n v="1"/>
    <n v="1"/>
    <n v="4"/>
    <n v="3"/>
  </r>
  <r>
    <s v="Buffalo Bills"/>
    <n v="2006"/>
    <n v="7"/>
    <n v="9"/>
    <x v="1"/>
    <n v="2.2000000000000002"/>
    <n v="-0.2"/>
    <n v="2.4"/>
    <x v="2"/>
    <n v="1"/>
    <n v="1"/>
    <n v="1"/>
    <n v="1"/>
    <n v="1"/>
    <x v="2"/>
    <n v="2"/>
    <n v="1"/>
    <x v="0"/>
    <n v="4"/>
    <n v="4"/>
    <n v="2"/>
    <n v="1"/>
    <n v="1"/>
    <x v="0"/>
    <n v="2"/>
    <n v="3"/>
    <n v="3"/>
    <n v="4"/>
    <n v="2"/>
    <n v="3"/>
    <n v="1"/>
    <n v="1"/>
    <n v="3"/>
    <n v="3"/>
    <n v="4"/>
    <n v="4"/>
    <x v="0"/>
    <n v="3"/>
    <n v="3"/>
    <n v="2"/>
    <n v="3"/>
    <n v="2"/>
    <n v="1"/>
    <n v="1"/>
    <n v="2"/>
    <n v="3"/>
    <n v="4"/>
    <n v="3"/>
    <n v="4"/>
    <n v="3"/>
    <n v="4"/>
    <n v="1"/>
    <n v="2"/>
  </r>
  <r>
    <s v="Carolina Panthers"/>
    <n v="2006"/>
    <n v="8"/>
    <n v="8"/>
    <x v="1"/>
    <n v="-2.7"/>
    <n v="-4.2"/>
    <n v="1.5"/>
    <x v="1"/>
    <n v="2"/>
    <n v="2"/>
    <n v="2"/>
    <n v="3"/>
    <n v="3"/>
    <x v="3"/>
    <n v="2"/>
    <n v="2"/>
    <x v="1"/>
    <n v="2"/>
    <n v="3"/>
    <n v="2"/>
    <n v="2"/>
    <n v="1"/>
    <x v="1"/>
    <n v="3"/>
    <n v="1"/>
    <n v="4"/>
    <n v="1"/>
    <n v="2"/>
    <n v="1"/>
    <n v="1"/>
    <n v="1"/>
    <n v="4"/>
    <n v="4"/>
    <n v="4"/>
    <n v="4"/>
    <x v="0"/>
    <n v="1"/>
    <n v="2"/>
    <n v="1"/>
    <n v="1"/>
    <n v="2"/>
    <n v="1"/>
    <n v="3"/>
    <n v="1"/>
    <n v="4"/>
    <n v="4"/>
    <n v="3"/>
    <n v="2"/>
    <n v="1"/>
    <n v="2"/>
    <n v="2"/>
    <n v="1"/>
  </r>
  <r>
    <s v="Chicago Bears"/>
    <n v="2006"/>
    <n v="13"/>
    <n v="3"/>
    <x v="0"/>
    <n v="7.9"/>
    <n v="4.9000000000000004"/>
    <n v="3"/>
    <x v="3"/>
    <n v="3"/>
    <n v="4"/>
    <n v="3"/>
    <n v="1"/>
    <n v="2"/>
    <x v="3"/>
    <n v="3"/>
    <n v="2"/>
    <x v="1"/>
    <n v="1"/>
    <n v="1"/>
    <n v="4"/>
    <n v="3"/>
    <n v="3"/>
    <x v="1"/>
    <n v="4"/>
    <n v="3"/>
    <n v="4"/>
    <n v="4"/>
    <n v="2"/>
    <n v="2"/>
    <n v="4"/>
    <n v="4"/>
    <n v="3"/>
    <n v="4"/>
    <n v="2"/>
    <n v="3"/>
    <x v="1"/>
    <n v="1"/>
    <n v="3"/>
    <n v="1"/>
    <n v="3"/>
    <n v="4"/>
    <n v="2"/>
    <n v="1"/>
    <n v="1"/>
    <n v="3"/>
    <n v="4"/>
    <n v="1"/>
    <n v="1"/>
    <n v="1"/>
    <n v="1"/>
    <n v="4"/>
    <n v="4"/>
  </r>
  <r>
    <s v="Cincinnati Bengals"/>
    <n v="2006"/>
    <n v="8"/>
    <n v="8"/>
    <x v="1"/>
    <n v="4.0999999999999996"/>
    <n v="4"/>
    <n v="0"/>
    <x v="0"/>
    <n v="3"/>
    <n v="2"/>
    <n v="3"/>
    <n v="3"/>
    <n v="2"/>
    <x v="0"/>
    <n v="4"/>
    <n v="4"/>
    <x v="3"/>
    <n v="3"/>
    <n v="3"/>
    <n v="2"/>
    <n v="2"/>
    <n v="3"/>
    <x v="3"/>
    <n v="1"/>
    <n v="2"/>
    <n v="2"/>
    <n v="2"/>
    <n v="2"/>
    <n v="1"/>
    <n v="2"/>
    <n v="3"/>
    <n v="3"/>
    <n v="2"/>
    <n v="2"/>
    <n v="3"/>
    <x v="0"/>
    <n v="4"/>
    <n v="4"/>
    <n v="4"/>
    <n v="4"/>
    <n v="4"/>
    <n v="4"/>
    <n v="3"/>
    <n v="4"/>
    <n v="2"/>
    <n v="2"/>
    <n v="3"/>
    <n v="3"/>
    <n v="3"/>
    <n v="3"/>
    <n v="3"/>
    <n v="3"/>
  </r>
  <r>
    <s v="Cleveland Browns"/>
    <n v="2006"/>
    <n v="4"/>
    <n v="12"/>
    <x v="1"/>
    <n v="-5.8"/>
    <n v="-4.5"/>
    <n v="-1.3"/>
    <x v="1"/>
    <n v="1"/>
    <n v="1"/>
    <n v="1"/>
    <n v="3"/>
    <n v="2"/>
    <x v="2"/>
    <n v="1"/>
    <n v="2"/>
    <x v="2"/>
    <n v="4"/>
    <n v="4"/>
    <n v="1"/>
    <n v="1"/>
    <n v="1"/>
    <x v="0"/>
    <n v="4"/>
    <n v="4"/>
    <n v="2"/>
    <n v="3"/>
    <n v="3"/>
    <n v="4"/>
    <n v="2"/>
    <n v="2"/>
    <n v="3"/>
    <n v="2"/>
    <n v="3"/>
    <n v="4"/>
    <x v="2"/>
    <n v="4"/>
    <n v="4"/>
    <n v="3"/>
    <n v="1"/>
    <n v="2"/>
    <n v="2"/>
    <n v="2"/>
    <n v="3"/>
    <n v="1"/>
    <n v="1"/>
    <n v="4"/>
    <n v="4"/>
    <n v="3"/>
    <n v="3"/>
    <n v="3"/>
    <n v="1"/>
  </r>
  <r>
    <s v="Dallas Cowboys"/>
    <n v="2006"/>
    <n v="9"/>
    <n v="7"/>
    <x v="0"/>
    <n v="3.7"/>
    <n v="5"/>
    <n v="-1.3"/>
    <x v="3"/>
    <n v="4"/>
    <n v="3"/>
    <n v="4"/>
    <n v="2"/>
    <n v="2"/>
    <x v="0"/>
    <n v="3"/>
    <n v="4"/>
    <x v="0"/>
    <n v="3"/>
    <n v="3"/>
    <n v="3"/>
    <n v="3"/>
    <n v="4"/>
    <x v="1"/>
    <n v="4"/>
    <n v="1"/>
    <n v="3"/>
    <n v="3"/>
    <n v="2"/>
    <n v="3"/>
    <n v="2"/>
    <n v="2"/>
    <n v="2"/>
    <n v="1"/>
    <n v="1"/>
    <n v="2"/>
    <x v="2"/>
    <n v="2"/>
    <n v="1"/>
    <n v="2"/>
    <n v="2"/>
    <n v="2"/>
    <n v="3"/>
    <n v="3"/>
    <n v="3"/>
    <n v="2"/>
    <n v="2"/>
    <n v="2"/>
    <n v="2"/>
    <n v="2"/>
    <n v="2"/>
    <n v="3"/>
    <n v="3"/>
  </r>
  <r>
    <s v="Denver Broncos"/>
    <n v="2006"/>
    <n v="9"/>
    <n v="7"/>
    <x v="1"/>
    <n v="1.3"/>
    <n v="-0.8"/>
    <n v="2.1"/>
    <x v="2"/>
    <n v="2"/>
    <n v="2"/>
    <n v="2"/>
    <n v="1"/>
    <n v="1"/>
    <x v="2"/>
    <n v="2"/>
    <n v="1"/>
    <x v="1"/>
    <n v="2"/>
    <n v="2"/>
    <n v="4"/>
    <n v="4"/>
    <n v="2"/>
    <x v="1"/>
    <n v="3"/>
    <n v="2"/>
    <n v="2"/>
    <n v="2"/>
    <n v="1"/>
    <n v="1"/>
    <n v="3"/>
    <n v="4"/>
    <n v="1"/>
    <n v="2"/>
    <n v="3"/>
    <n v="3"/>
    <x v="0"/>
    <n v="2"/>
    <n v="3"/>
    <n v="2"/>
    <n v="3"/>
    <n v="3"/>
    <n v="3"/>
    <n v="1"/>
    <n v="3"/>
    <n v="3"/>
    <n v="2"/>
    <n v="3"/>
    <n v="2"/>
    <n v="2"/>
    <n v="2"/>
    <n v="3"/>
    <n v="3"/>
  </r>
  <r>
    <s v="Detroit Lions"/>
    <n v="2006"/>
    <n v="3"/>
    <n v="13"/>
    <x v="1"/>
    <n v="-6.4"/>
    <n v="-1.8"/>
    <n v="-4.5999999999999996"/>
    <x v="2"/>
    <n v="2"/>
    <n v="1"/>
    <n v="2"/>
    <n v="4"/>
    <n v="4"/>
    <x v="0"/>
    <n v="2"/>
    <n v="4"/>
    <x v="1"/>
    <n v="4"/>
    <n v="4"/>
    <n v="1"/>
    <n v="1"/>
    <n v="1"/>
    <x v="0"/>
    <n v="4"/>
    <n v="4"/>
    <n v="2"/>
    <n v="4"/>
    <n v="4"/>
    <n v="4"/>
    <n v="3"/>
    <n v="3"/>
    <n v="3"/>
    <n v="3"/>
    <n v="1"/>
    <n v="2"/>
    <x v="3"/>
    <n v="4"/>
    <n v="4"/>
    <n v="4"/>
    <n v="4"/>
    <n v="2"/>
    <n v="3"/>
    <n v="3"/>
    <n v="3"/>
    <n v="1"/>
    <n v="2"/>
    <n v="4"/>
    <n v="3"/>
    <n v="4"/>
    <n v="3"/>
    <n v="1"/>
    <n v="4"/>
  </r>
  <r>
    <s v="Green Bay Packers"/>
    <n v="2006"/>
    <n v="8"/>
    <n v="8"/>
    <x v="1"/>
    <n v="-4.4000000000000004"/>
    <n v="-2.2999999999999998"/>
    <n v="-2.1"/>
    <x v="2"/>
    <n v="3"/>
    <n v="4"/>
    <n v="3"/>
    <n v="4"/>
    <n v="4"/>
    <x v="1"/>
    <n v="2"/>
    <n v="3"/>
    <x v="2"/>
    <n v="1"/>
    <n v="1"/>
    <n v="2"/>
    <n v="2"/>
    <n v="1"/>
    <x v="3"/>
    <n v="3"/>
    <n v="3"/>
    <n v="4"/>
    <n v="4"/>
    <n v="3"/>
    <n v="2"/>
    <n v="4"/>
    <n v="3"/>
    <n v="3"/>
    <n v="3"/>
    <n v="3"/>
    <n v="4"/>
    <x v="2"/>
    <n v="2"/>
    <n v="3"/>
    <n v="2"/>
    <n v="1"/>
    <n v="2"/>
    <n v="2"/>
    <n v="3"/>
    <n v="2"/>
    <n v="4"/>
    <n v="4"/>
    <n v="2"/>
    <n v="2"/>
    <n v="2"/>
    <n v="2"/>
    <n v="4"/>
    <n v="2"/>
  </r>
  <r>
    <s v="Houston Texans"/>
    <n v="2006"/>
    <n v="6"/>
    <n v="10"/>
    <x v="1"/>
    <n v="-4.5"/>
    <n v="-3.2"/>
    <n v="-1.3"/>
    <x v="1"/>
    <n v="1"/>
    <n v="1"/>
    <n v="2"/>
    <n v="3"/>
    <n v="2"/>
    <x v="2"/>
    <n v="1"/>
    <n v="2"/>
    <x v="0"/>
    <n v="3"/>
    <n v="3"/>
    <n v="2"/>
    <n v="2"/>
    <n v="2"/>
    <x v="1"/>
    <n v="1"/>
    <n v="2"/>
    <n v="1"/>
    <n v="2"/>
    <n v="3"/>
    <n v="4"/>
    <n v="1"/>
    <n v="1"/>
    <n v="4"/>
    <n v="4"/>
    <n v="2"/>
    <n v="3"/>
    <x v="2"/>
    <n v="3"/>
    <n v="2"/>
    <n v="3"/>
    <n v="3"/>
    <n v="2"/>
    <n v="3"/>
    <n v="3"/>
    <n v="2"/>
    <n v="1"/>
    <n v="2"/>
    <n v="3"/>
    <n v="3"/>
    <n v="3"/>
    <n v="4"/>
    <n v="1"/>
    <n v="2"/>
  </r>
  <r>
    <s v="Indianapolis Colts"/>
    <n v="2006"/>
    <n v="12"/>
    <n v="4"/>
    <x v="0"/>
    <n v="5.9"/>
    <n v="6.9"/>
    <n v="-1.1000000000000001"/>
    <x v="3"/>
    <n v="4"/>
    <n v="3"/>
    <n v="4"/>
    <n v="4"/>
    <n v="3"/>
    <x v="0"/>
    <n v="4"/>
    <n v="4"/>
    <x v="3"/>
    <n v="1"/>
    <n v="1"/>
    <n v="3"/>
    <n v="2"/>
    <n v="3"/>
    <x v="2"/>
    <n v="1"/>
    <n v="1"/>
    <n v="1"/>
    <n v="1"/>
    <n v="1"/>
    <n v="2"/>
    <n v="2"/>
    <n v="3"/>
    <n v="2"/>
    <n v="3"/>
    <n v="1"/>
    <n v="1"/>
    <x v="2"/>
    <n v="3"/>
    <n v="1"/>
    <n v="4"/>
    <n v="1"/>
    <n v="1"/>
    <n v="1"/>
    <n v="1"/>
    <n v="1"/>
    <n v="1"/>
    <n v="1"/>
    <n v="4"/>
    <n v="4"/>
    <n v="4"/>
    <n v="4"/>
    <n v="2"/>
    <n v="2"/>
  </r>
  <r>
    <s v="Jacksonville Jaguars"/>
    <n v="2006"/>
    <n v="8"/>
    <n v="8"/>
    <x v="1"/>
    <n v="7.5"/>
    <n v="2.6"/>
    <n v="4.9000000000000004"/>
    <x v="0"/>
    <n v="3"/>
    <n v="2"/>
    <n v="2"/>
    <n v="1"/>
    <n v="1"/>
    <x v="2"/>
    <n v="2"/>
    <n v="1"/>
    <x v="1"/>
    <n v="2"/>
    <n v="2"/>
    <n v="4"/>
    <n v="4"/>
    <n v="4"/>
    <x v="2"/>
    <n v="2"/>
    <n v="1"/>
    <n v="4"/>
    <n v="3"/>
    <n v="1"/>
    <n v="1"/>
    <n v="1"/>
    <n v="1"/>
    <n v="4"/>
    <n v="4"/>
    <n v="2"/>
    <n v="2"/>
    <x v="1"/>
    <n v="1"/>
    <n v="2"/>
    <n v="1"/>
    <n v="2"/>
    <n v="3"/>
    <n v="1"/>
    <n v="1"/>
    <n v="1"/>
    <n v="2"/>
    <n v="2"/>
    <n v="2"/>
    <n v="1"/>
    <n v="3"/>
    <n v="2"/>
    <n v="4"/>
    <n v="1"/>
  </r>
  <r>
    <s v="Kansas City Chiefs"/>
    <n v="2006"/>
    <n v="9"/>
    <n v="7"/>
    <x v="0"/>
    <n v="1"/>
    <n v="0.4"/>
    <n v="0.6"/>
    <x v="2"/>
    <n v="2"/>
    <n v="2"/>
    <n v="3"/>
    <n v="1"/>
    <n v="1"/>
    <x v="3"/>
    <n v="2"/>
    <n v="3"/>
    <x v="0"/>
    <n v="3"/>
    <n v="3"/>
    <n v="4"/>
    <n v="4"/>
    <n v="3"/>
    <x v="1"/>
    <n v="1"/>
    <n v="3"/>
    <n v="2"/>
    <n v="2"/>
    <n v="2"/>
    <n v="2"/>
    <n v="2"/>
    <n v="2"/>
    <n v="3"/>
    <n v="3"/>
    <n v="2"/>
    <n v="3"/>
    <x v="0"/>
    <n v="3"/>
    <n v="3"/>
    <n v="2"/>
    <n v="2"/>
    <n v="2"/>
    <n v="2"/>
    <n v="1"/>
    <n v="2"/>
    <n v="2"/>
    <n v="1"/>
    <n v="3"/>
    <n v="3"/>
    <n v="3"/>
    <n v="3"/>
    <n v="2"/>
    <n v="4"/>
  </r>
  <r>
    <s v="Miami Dolphins"/>
    <n v="2006"/>
    <n v="6"/>
    <n v="10"/>
    <x v="1"/>
    <n v="0.7"/>
    <n v="-3.3"/>
    <n v="4"/>
    <x v="1"/>
    <n v="2"/>
    <n v="4"/>
    <n v="2"/>
    <n v="3"/>
    <n v="4"/>
    <x v="3"/>
    <n v="1"/>
    <n v="3"/>
    <x v="2"/>
    <n v="3"/>
    <n v="4"/>
    <n v="1"/>
    <n v="2"/>
    <n v="1"/>
    <x v="0"/>
    <n v="3"/>
    <n v="1"/>
    <n v="3"/>
    <n v="3"/>
    <n v="1"/>
    <n v="1"/>
    <n v="2"/>
    <n v="2"/>
    <n v="4"/>
    <n v="3"/>
    <n v="4"/>
    <n v="4"/>
    <x v="1"/>
    <n v="1"/>
    <n v="3"/>
    <n v="1"/>
    <n v="1"/>
    <n v="2"/>
    <n v="1"/>
    <n v="3"/>
    <n v="2"/>
    <n v="4"/>
    <n v="4"/>
    <n v="3"/>
    <n v="2"/>
    <n v="1"/>
    <n v="1"/>
    <n v="1"/>
    <n v="4"/>
  </r>
  <r>
    <s v="Minnesota Vikings"/>
    <n v="2006"/>
    <n v="6"/>
    <n v="10"/>
    <x v="1"/>
    <n v="-4.0999999999999996"/>
    <n v="-3.7"/>
    <n v="-0.4"/>
    <x v="1"/>
    <n v="2"/>
    <n v="3"/>
    <n v="1"/>
    <n v="3"/>
    <n v="3"/>
    <x v="3"/>
    <n v="1"/>
    <n v="2"/>
    <x v="2"/>
    <n v="3"/>
    <n v="3"/>
    <n v="3"/>
    <n v="3"/>
    <n v="2"/>
    <x v="3"/>
    <n v="4"/>
    <n v="2"/>
    <n v="3"/>
    <n v="3"/>
    <n v="3"/>
    <n v="3"/>
    <n v="2"/>
    <n v="3"/>
    <n v="1"/>
    <n v="1"/>
    <n v="4"/>
    <n v="4"/>
    <x v="0"/>
    <n v="1"/>
    <n v="2"/>
    <n v="1"/>
    <n v="4"/>
    <n v="4"/>
    <n v="4"/>
    <n v="1"/>
    <n v="4"/>
    <n v="1"/>
    <n v="2"/>
    <n v="1"/>
    <n v="1"/>
    <n v="1"/>
    <n v="1"/>
    <n v="4"/>
    <n v="4"/>
  </r>
  <r>
    <s v="New England Patriots"/>
    <n v="2006"/>
    <n v="12"/>
    <n v="4"/>
    <x v="0"/>
    <n v="10.199999999999999"/>
    <n v="4.3"/>
    <n v="5.9"/>
    <x v="0"/>
    <n v="3"/>
    <n v="4"/>
    <n v="4"/>
    <n v="3"/>
    <n v="3"/>
    <x v="1"/>
    <n v="3"/>
    <n v="3"/>
    <x v="0"/>
    <n v="2"/>
    <n v="2"/>
    <n v="4"/>
    <n v="3"/>
    <n v="4"/>
    <x v="2"/>
    <n v="1"/>
    <n v="3"/>
    <n v="2"/>
    <n v="4"/>
    <n v="1"/>
    <n v="3"/>
    <n v="4"/>
    <n v="3"/>
    <n v="1"/>
    <n v="1"/>
    <n v="2"/>
    <n v="2"/>
    <x v="1"/>
    <n v="1"/>
    <n v="1"/>
    <n v="1"/>
    <n v="2"/>
    <n v="2"/>
    <n v="2"/>
    <n v="1"/>
    <n v="2"/>
    <n v="4"/>
    <n v="4"/>
    <n v="1"/>
    <n v="1"/>
    <n v="2"/>
    <n v="1"/>
    <n v="4"/>
    <n v="3"/>
  </r>
  <r>
    <s v="New Orleans Saints"/>
    <n v="2006"/>
    <n v="10"/>
    <n v="6"/>
    <x v="0"/>
    <n v="4"/>
    <n v="4.9000000000000004"/>
    <n v="-0.9"/>
    <x v="3"/>
    <n v="4"/>
    <n v="4"/>
    <n v="4"/>
    <n v="4"/>
    <n v="4"/>
    <x v="0"/>
    <n v="4"/>
    <n v="4"/>
    <x v="3"/>
    <n v="1"/>
    <n v="1"/>
    <n v="3"/>
    <n v="2"/>
    <n v="4"/>
    <x v="1"/>
    <n v="1"/>
    <n v="1"/>
    <n v="4"/>
    <n v="3"/>
    <n v="2"/>
    <n v="2"/>
    <n v="2"/>
    <n v="3"/>
    <n v="1"/>
    <n v="1"/>
    <n v="2"/>
    <n v="3"/>
    <x v="0"/>
    <n v="2"/>
    <n v="1"/>
    <n v="1"/>
    <n v="1"/>
    <n v="1"/>
    <n v="1"/>
    <n v="4"/>
    <n v="1"/>
    <n v="3"/>
    <n v="4"/>
    <n v="2"/>
    <n v="4"/>
    <n v="1"/>
    <n v="2"/>
    <n v="1"/>
    <n v="1"/>
  </r>
  <r>
    <s v="New York Giants"/>
    <n v="2006"/>
    <n v="8"/>
    <n v="8"/>
    <x v="0"/>
    <n v="0.1"/>
    <n v="1.2"/>
    <n v="-1.1000000000000001"/>
    <x v="0"/>
    <n v="3"/>
    <n v="2"/>
    <n v="3"/>
    <n v="2"/>
    <n v="2"/>
    <x v="3"/>
    <n v="3"/>
    <n v="2"/>
    <x v="1"/>
    <n v="1"/>
    <n v="2"/>
    <n v="3"/>
    <n v="4"/>
    <n v="3"/>
    <x v="2"/>
    <n v="3"/>
    <n v="1"/>
    <n v="2"/>
    <n v="2"/>
    <n v="3"/>
    <n v="2"/>
    <n v="2"/>
    <n v="3"/>
    <n v="1"/>
    <n v="1"/>
    <n v="2"/>
    <n v="2"/>
    <x v="2"/>
    <n v="3"/>
    <n v="4"/>
    <n v="3"/>
    <n v="3"/>
    <n v="4"/>
    <n v="4"/>
    <n v="2"/>
    <n v="4"/>
    <n v="2"/>
    <n v="1"/>
    <n v="3"/>
    <n v="2"/>
    <n v="4"/>
    <n v="3"/>
    <n v="3"/>
    <n v="2"/>
  </r>
  <r>
    <s v="New York Jets"/>
    <n v="2006"/>
    <n v="10"/>
    <n v="6"/>
    <x v="0"/>
    <n v="2"/>
    <n v="0.4"/>
    <n v="1.7"/>
    <x v="2"/>
    <n v="2"/>
    <n v="3"/>
    <n v="2"/>
    <n v="3"/>
    <n v="2"/>
    <x v="3"/>
    <n v="2"/>
    <n v="2"/>
    <x v="0"/>
    <n v="2"/>
    <n v="2"/>
    <n v="4"/>
    <n v="2"/>
    <n v="3"/>
    <x v="1"/>
    <n v="2"/>
    <n v="1"/>
    <n v="1"/>
    <n v="2"/>
    <n v="2"/>
    <n v="2"/>
    <n v="3"/>
    <n v="3"/>
    <n v="1"/>
    <n v="1"/>
    <n v="2"/>
    <n v="3"/>
    <x v="1"/>
    <n v="3"/>
    <n v="3"/>
    <n v="3"/>
    <n v="3"/>
    <n v="3"/>
    <n v="2"/>
    <n v="2"/>
    <n v="3"/>
    <n v="2"/>
    <n v="3"/>
    <n v="3"/>
    <n v="4"/>
    <n v="3"/>
    <n v="3"/>
    <n v="2"/>
    <n v="1"/>
  </r>
  <r>
    <s v="Oakland Raiders"/>
    <n v="2006"/>
    <n v="2"/>
    <n v="14"/>
    <x v="1"/>
    <n v="-9.6"/>
    <n v="-10.3"/>
    <n v="0.7"/>
    <x v="1"/>
    <n v="1"/>
    <n v="1"/>
    <n v="1"/>
    <n v="1"/>
    <n v="2"/>
    <x v="2"/>
    <n v="1"/>
    <n v="1"/>
    <x v="2"/>
    <n v="4"/>
    <n v="4"/>
    <n v="1"/>
    <n v="1"/>
    <n v="1"/>
    <x v="0"/>
    <n v="4"/>
    <n v="4"/>
    <n v="2"/>
    <n v="1"/>
    <n v="3"/>
    <n v="4"/>
    <n v="1"/>
    <n v="1"/>
    <n v="2"/>
    <n v="1"/>
    <n v="3"/>
    <n v="4"/>
    <x v="0"/>
    <n v="1"/>
    <n v="2"/>
    <n v="1"/>
    <n v="1"/>
    <n v="1"/>
    <n v="1"/>
    <n v="1"/>
    <n v="1"/>
    <n v="2"/>
    <n v="2"/>
    <n v="4"/>
    <n v="4"/>
    <n v="3"/>
    <n v="3"/>
    <n v="3"/>
    <n v="1"/>
  </r>
  <r>
    <s v="Philadelphia Eagles"/>
    <n v="2006"/>
    <n v="10"/>
    <n v="6"/>
    <x v="0"/>
    <n v="3.4"/>
    <n v="3.2"/>
    <n v="0.2"/>
    <x v="3"/>
    <n v="4"/>
    <n v="2"/>
    <n v="3"/>
    <n v="3"/>
    <n v="3"/>
    <x v="0"/>
    <n v="4"/>
    <n v="3"/>
    <x v="3"/>
    <n v="1"/>
    <n v="2"/>
    <n v="2"/>
    <n v="3"/>
    <n v="2"/>
    <x v="1"/>
    <n v="1"/>
    <n v="3"/>
    <n v="2"/>
    <n v="3"/>
    <n v="1"/>
    <n v="1"/>
    <n v="1"/>
    <n v="1"/>
    <n v="1"/>
    <n v="1"/>
    <n v="3"/>
    <n v="3"/>
    <x v="0"/>
    <n v="3"/>
    <n v="4"/>
    <n v="3"/>
    <n v="2"/>
    <n v="3"/>
    <n v="1"/>
    <n v="1"/>
    <n v="1"/>
    <n v="3"/>
    <n v="4"/>
    <n v="4"/>
    <n v="4"/>
    <n v="2"/>
    <n v="4"/>
    <n v="3"/>
    <n v="2"/>
  </r>
  <r>
    <s v="Pittsburgh Steelers"/>
    <n v="2006"/>
    <n v="8"/>
    <n v="8"/>
    <x v="1"/>
    <n v="3.4"/>
    <n v="3"/>
    <n v="0.4"/>
    <x v="0"/>
    <n v="4"/>
    <n v="4"/>
    <n v="4"/>
    <n v="2"/>
    <n v="2"/>
    <x v="1"/>
    <n v="3"/>
    <n v="4"/>
    <x v="1"/>
    <n v="4"/>
    <n v="4"/>
    <n v="3"/>
    <n v="3"/>
    <n v="3"/>
    <x v="1"/>
    <n v="4"/>
    <n v="3"/>
    <n v="2"/>
    <n v="2"/>
    <n v="1"/>
    <n v="1"/>
    <n v="3"/>
    <n v="2"/>
    <n v="1"/>
    <n v="1"/>
    <n v="1"/>
    <n v="2"/>
    <x v="0"/>
    <n v="1"/>
    <n v="2"/>
    <n v="1"/>
    <n v="3"/>
    <n v="3"/>
    <n v="3"/>
    <n v="2"/>
    <n v="3"/>
    <n v="3"/>
    <n v="3"/>
    <n v="1"/>
    <n v="1"/>
    <n v="1"/>
    <n v="1"/>
    <n v="4"/>
    <n v="1"/>
  </r>
  <r>
    <s v="San Diego Chargers"/>
    <n v="2006"/>
    <n v="14"/>
    <n v="2"/>
    <x v="0"/>
    <n v="10.199999999999999"/>
    <n v="10"/>
    <n v="0.2"/>
    <x v="3"/>
    <n v="4"/>
    <n v="3"/>
    <n v="3"/>
    <n v="2"/>
    <n v="1"/>
    <x v="3"/>
    <n v="3"/>
    <n v="2"/>
    <x v="3"/>
    <n v="1"/>
    <n v="1"/>
    <n v="4"/>
    <n v="4"/>
    <n v="4"/>
    <x v="2"/>
    <n v="1"/>
    <n v="1"/>
    <n v="4"/>
    <n v="3"/>
    <n v="1"/>
    <n v="2"/>
    <n v="3"/>
    <n v="3"/>
    <n v="2"/>
    <n v="2"/>
    <n v="2"/>
    <n v="2"/>
    <x v="0"/>
    <n v="1"/>
    <n v="2"/>
    <n v="2"/>
    <n v="2"/>
    <n v="3"/>
    <n v="2"/>
    <n v="2"/>
    <n v="3"/>
    <n v="4"/>
    <n v="4"/>
    <n v="1"/>
    <n v="2"/>
    <n v="2"/>
    <n v="2"/>
    <n v="2"/>
    <n v="3"/>
  </r>
  <r>
    <s v="San Francisco 49ers"/>
    <n v="2006"/>
    <n v="7"/>
    <n v="9"/>
    <x v="1"/>
    <n v="-8.6999999999999993"/>
    <n v="-3.5"/>
    <n v="-5.2"/>
    <x v="2"/>
    <n v="2"/>
    <n v="1"/>
    <n v="1"/>
    <n v="1"/>
    <n v="1"/>
    <x v="2"/>
    <n v="1"/>
    <n v="1"/>
    <x v="1"/>
    <n v="3"/>
    <n v="2"/>
    <n v="2"/>
    <n v="4"/>
    <n v="2"/>
    <x v="3"/>
    <n v="2"/>
    <n v="3"/>
    <n v="1"/>
    <n v="1"/>
    <n v="4"/>
    <n v="4"/>
    <n v="4"/>
    <n v="4"/>
    <n v="2"/>
    <n v="2"/>
    <n v="3"/>
    <n v="4"/>
    <x v="3"/>
    <n v="3"/>
    <n v="3"/>
    <n v="4"/>
    <n v="3"/>
    <n v="2"/>
    <n v="3"/>
    <n v="3"/>
    <n v="4"/>
    <n v="2"/>
    <n v="3"/>
    <n v="3"/>
    <n v="3"/>
    <n v="4"/>
    <n v="3"/>
    <n v="2"/>
    <n v="3"/>
  </r>
  <r>
    <s v="Seattle Seahawks"/>
    <n v="2006"/>
    <n v="9"/>
    <n v="7"/>
    <x v="0"/>
    <n v="-3.6"/>
    <n v="-1.6"/>
    <n v="-1.9"/>
    <x v="2"/>
    <n v="2"/>
    <n v="4"/>
    <n v="3"/>
    <n v="2"/>
    <n v="2"/>
    <x v="3"/>
    <n v="3"/>
    <n v="2"/>
    <x v="1"/>
    <n v="4"/>
    <n v="4"/>
    <n v="4"/>
    <n v="3"/>
    <n v="1"/>
    <x v="2"/>
    <n v="4"/>
    <n v="2"/>
    <n v="4"/>
    <n v="4"/>
    <n v="3"/>
    <n v="3"/>
    <n v="2"/>
    <n v="2"/>
    <n v="3"/>
    <n v="3"/>
    <n v="4"/>
    <n v="4"/>
    <x v="2"/>
    <n v="3"/>
    <n v="2"/>
    <n v="1"/>
    <n v="2"/>
    <n v="2"/>
    <n v="2"/>
    <n v="3"/>
    <n v="1"/>
    <n v="4"/>
    <n v="4"/>
    <n v="2"/>
    <n v="3"/>
    <n v="2"/>
    <n v="3"/>
    <n v="1"/>
    <n v="3"/>
  </r>
  <r>
    <s v="St. Louis Rams"/>
    <n v="2006"/>
    <n v="8"/>
    <n v="8"/>
    <x v="1"/>
    <n v="-4"/>
    <n v="0.8"/>
    <n v="-4.7"/>
    <x v="0"/>
    <n v="4"/>
    <n v="4"/>
    <n v="4"/>
    <n v="4"/>
    <n v="4"/>
    <x v="0"/>
    <n v="3"/>
    <n v="4"/>
    <x v="3"/>
    <n v="4"/>
    <n v="4"/>
    <n v="2"/>
    <n v="2"/>
    <n v="2"/>
    <x v="3"/>
    <n v="1"/>
    <n v="1"/>
    <n v="1"/>
    <n v="1"/>
    <n v="2"/>
    <n v="2"/>
    <n v="2"/>
    <n v="3"/>
    <n v="4"/>
    <n v="4"/>
    <n v="2"/>
    <n v="3"/>
    <x v="2"/>
    <n v="3"/>
    <n v="1"/>
    <n v="3"/>
    <n v="1"/>
    <n v="1"/>
    <n v="1"/>
    <n v="2"/>
    <n v="2"/>
    <n v="2"/>
    <n v="2"/>
    <n v="3"/>
    <n v="4"/>
    <n v="4"/>
    <n v="4"/>
    <n v="3"/>
    <n v="4"/>
  </r>
  <r>
    <s v="Tampa Bay Buccaneers"/>
    <n v="2006"/>
    <n v="4"/>
    <n v="12"/>
    <x v="1"/>
    <n v="-7.9"/>
    <n v="-7.2"/>
    <n v="-0.8"/>
    <x v="1"/>
    <n v="1"/>
    <n v="2"/>
    <n v="1"/>
    <n v="2"/>
    <n v="3"/>
    <x v="2"/>
    <n v="1"/>
    <n v="1"/>
    <x v="2"/>
    <n v="2"/>
    <n v="2"/>
    <n v="1"/>
    <n v="1"/>
    <n v="1"/>
    <x v="0"/>
    <n v="3"/>
    <n v="3"/>
    <n v="4"/>
    <n v="3"/>
    <n v="2"/>
    <n v="2"/>
    <n v="1"/>
    <n v="1"/>
    <n v="2"/>
    <n v="1"/>
    <n v="4"/>
    <n v="4"/>
    <x v="2"/>
    <n v="3"/>
    <n v="3"/>
    <n v="3"/>
    <n v="2"/>
    <n v="1"/>
    <n v="2"/>
    <n v="4"/>
    <n v="2"/>
    <n v="1"/>
    <n v="1"/>
    <n v="4"/>
    <n v="3"/>
    <n v="2"/>
    <n v="3"/>
    <n v="1"/>
    <n v="1"/>
  </r>
  <r>
    <s v="Tennessee Titans"/>
    <n v="2006"/>
    <n v="8"/>
    <n v="8"/>
    <x v="1"/>
    <n v="-1.3"/>
    <n v="1"/>
    <n v="-2.2999999999999998"/>
    <x v="2"/>
    <n v="2"/>
    <n v="1"/>
    <n v="1"/>
    <n v="1"/>
    <n v="1"/>
    <x v="2"/>
    <n v="1"/>
    <n v="1"/>
    <x v="2"/>
    <n v="2"/>
    <n v="1"/>
    <n v="3"/>
    <n v="4"/>
    <n v="3"/>
    <x v="1"/>
    <n v="3"/>
    <n v="1"/>
    <n v="3"/>
    <n v="4"/>
    <n v="4"/>
    <n v="4"/>
    <n v="2"/>
    <n v="3"/>
    <n v="2"/>
    <n v="1"/>
    <n v="4"/>
    <n v="4"/>
    <x v="3"/>
    <n v="4"/>
    <n v="4"/>
    <n v="4"/>
    <n v="4"/>
    <n v="3"/>
    <n v="3"/>
    <n v="3"/>
    <n v="3"/>
    <n v="1"/>
    <n v="1"/>
    <n v="4"/>
    <n v="4"/>
    <n v="4"/>
    <n v="4"/>
    <n v="3"/>
    <n v="2"/>
  </r>
  <r>
    <s v="Washington Redskins"/>
    <n v="2006"/>
    <n v="5"/>
    <n v="11"/>
    <x v="1"/>
    <n v="-4"/>
    <n v="-2.1"/>
    <n v="-2"/>
    <x v="2"/>
    <n v="3"/>
    <n v="2"/>
    <n v="2"/>
    <n v="1"/>
    <n v="1"/>
    <x v="3"/>
    <n v="2"/>
    <n v="1"/>
    <x v="0"/>
    <n v="1"/>
    <n v="1"/>
    <n v="4"/>
    <n v="4"/>
    <n v="2"/>
    <x v="2"/>
    <n v="1"/>
    <n v="1"/>
    <n v="3"/>
    <n v="3"/>
    <n v="3"/>
    <n v="4"/>
    <n v="2"/>
    <n v="2"/>
    <n v="3"/>
    <n v="2"/>
    <n v="3"/>
    <n v="3"/>
    <x v="2"/>
    <n v="4"/>
    <n v="2"/>
    <n v="3"/>
    <n v="1"/>
    <n v="1"/>
    <n v="3"/>
    <n v="4"/>
    <n v="2"/>
    <n v="1"/>
    <n v="1"/>
    <n v="4"/>
    <n v="4"/>
    <n v="1"/>
    <n v="3"/>
    <n v="1"/>
    <n v="1"/>
  </r>
  <r>
    <s v="Arizona Cardinals"/>
    <n v="2005"/>
    <n v="5"/>
    <n v="11"/>
    <x v="1"/>
    <n v="-5"/>
    <n v="-2"/>
    <n v="-3"/>
    <x v="2"/>
    <n v="3"/>
    <n v="4"/>
    <n v="3"/>
    <n v="4"/>
    <n v="4"/>
    <x v="0"/>
    <n v="2"/>
    <n v="4"/>
    <x v="1"/>
    <n v="4"/>
    <n v="4"/>
    <n v="1"/>
    <n v="1"/>
    <n v="1"/>
    <x v="0"/>
    <n v="4"/>
    <n v="3"/>
    <n v="4"/>
    <n v="3"/>
    <n v="4"/>
    <n v="4"/>
    <n v="4"/>
    <n v="4"/>
    <n v="4"/>
    <n v="4"/>
    <n v="2"/>
    <n v="3"/>
    <x v="3"/>
    <n v="1"/>
    <n v="1"/>
    <n v="1"/>
    <n v="2"/>
    <n v="1"/>
    <n v="2"/>
    <n v="1"/>
    <n v="1"/>
    <n v="3"/>
    <n v="2"/>
    <n v="2"/>
    <n v="2"/>
    <n v="4"/>
    <n v="1"/>
    <n v="2"/>
    <n v="2"/>
  </r>
  <r>
    <s v="Atlanta Falcons"/>
    <n v="2005"/>
    <n v="8"/>
    <n v="8"/>
    <x v="1"/>
    <n v="-1.2"/>
    <n v="1.1000000000000001"/>
    <n v="-2.2999999999999998"/>
    <x v="0"/>
    <n v="3"/>
    <n v="3"/>
    <n v="3"/>
    <n v="1"/>
    <n v="1"/>
    <x v="2"/>
    <n v="2"/>
    <n v="1"/>
    <x v="1"/>
    <n v="3"/>
    <n v="3"/>
    <n v="4"/>
    <n v="4"/>
    <n v="3"/>
    <x v="2"/>
    <n v="1"/>
    <n v="3"/>
    <n v="2"/>
    <n v="2"/>
    <n v="3"/>
    <n v="2"/>
    <n v="4"/>
    <n v="4"/>
    <n v="1"/>
    <n v="1"/>
    <n v="3"/>
    <n v="3"/>
    <x v="2"/>
    <n v="2"/>
    <n v="3"/>
    <n v="4"/>
    <n v="3"/>
    <n v="3"/>
    <n v="2"/>
    <n v="1"/>
    <n v="2"/>
    <n v="3"/>
    <n v="3"/>
    <n v="2"/>
    <n v="4"/>
    <n v="4"/>
    <n v="4"/>
    <n v="2"/>
    <n v="3"/>
  </r>
  <r>
    <s v="Baltimore Ravens"/>
    <n v="2005"/>
    <n v="6"/>
    <n v="10"/>
    <x v="1"/>
    <n v="-1.8"/>
    <n v="-3.5"/>
    <n v="1.7"/>
    <x v="1"/>
    <n v="1"/>
    <n v="4"/>
    <n v="2"/>
    <n v="3"/>
    <n v="4"/>
    <x v="3"/>
    <n v="2"/>
    <n v="2"/>
    <x v="2"/>
    <n v="3"/>
    <n v="4"/>
    <n v="3"/>
    <n v="2"/>
    <n v="1"/>
    <x v="3"/>
    <n v="4"/>
    <n v="3"/>
    <n v="3"/>
    <n v="4"/>
    <n v="2"/>
    <n v="1"/>
    <n v="3"/>
    <n v="3"/>
    <n v="4"/>
    <n v="4"/>
    <n v="4"/>
    <n v="4"/>
    <x v="1"/>
    <n v="1"/>
    <n v="2"/>
    <n v="1"/>
    <n v="2"/>
    <n v="3"/>
    <n v="1"/>
    <n v="1"/>
    <n v="1"/>
    <n v="4"/>
    <n v="4"/>
    <n v="2"/>
    <n v="1"/>
    <n v="1"/>
    <n v="1"/>
    <n v="1"/>
    <n v="4"/>
  </r>
  <r>
    <s v="Buffalo Bills"/>
    <n v="2005"/>
    <n v="5"/>
    <n v="11"/>
    <x v="1"/>
    <n v="-5.8"/>
    <n v="-4"/>
    <n v="-1.8"/>
    <x v="1"/>
    <n v="1"/>
    <n v="1"/>
    <n v="1"/>
    <n v="1"/>
    <n v="1"/>
    <x v="2"/>
    <n v="2"/>
    <n v="1"/>
    <x v="1"/>
    <n v="3"/>
    <n v="4"/>
    <n v="2"/>
    <n v="2"/>
    <n v="1"/>
    <x v="3"/>
    <n v="2"/>
    <n v="1"/>
    <n v="1"/>
    <n v="2"/>
    <n v="4"/>
    <n v="4"/>
    <n v="4"/>
    <n v="3"/>
    <n v="3"/>
    <n v="3"/>
    <n v="2"/>
    <n v="3"/>
    <x v="2"/>
    <n v="3"/>
    <n v="4"/>
    <n v="4"/>
    <n v="2"/>
    <n v="2"/>
    <n v="2"/>
    <n v="2"/>
    <n v="2"/>
    <n v="3"/>
    <n v="4"/>
    <n v="4"/>
    <n v="4"/>
    <n v="4"/>
    <n v="4"/>
    <n v="3"/>
    <n v="3"/>
  </r>
  <r>
    <s v="Carolina Panthers"/>
    <n v="2005"/>
    <n v="11"/>
    <n v="5"/>
    <x v="0"/>
    <n v="5.0999999999999996"/>
    <n v="3"/>
    <n v="2.1"/>
    <x v="0"/>
    <n v="2"/>
    <n v="1"/>
    <n v="2"/>
    <n v="1"/>
    <n v="1"/>
    <x v="3"/>
    <n v="3"/>
    <n v="2"/>
    <x v="0"/>
    <n v="1"/>
    <n v="2"/>
    <n v="4"/>
    <n v="2"/>
    <n v="3"/>
    <x v="0"/>
    <n v="2"/>
    <n v="1"/>
    <n v="3"/>
    <n v="4"/>
    <n v="1"/>
    <n v="1"/>
    <n v="2"/>
    <n v="3"/>
    <n v="4"/>
    <n v="3"/>
    <n v="2"/>
    <n v="3"/>
    <x v="1"/>
    <n v="1"/>
    <n v="2"/>
    <n v="1"/>
    <n v="2"/>
    <n v="3"/>
    <n v="1"/>
    <n v="1"/>
    <n v="1"/>
    <n v="4"/>
    <n v="4"/>
    <n v="1"/>
    <n v="1"/>
    <n v="1"/>
    <n v="1"/>
    <n v="4"/>
    <n v="4"/>
  </r>
  <r>
    <s v="Chicago Bears"/>
    <n v="2005"/>
    <n v="11"/>
    <n v="5"/>
    <x v="0"/>
    <n v="1.4"/>
    <n v="-5.2"/>
    <n v="6.6"/>
    <x v="1"/>
    <n v="1"/>
    <n v="1"/>
    <n v="1"/>
    <n v="1"/>
    <n v="1"/>
    <x v="2"/>
    <n v="1"/>
    <n v="1"/>
    <x v="2"/>
    <n v="2"/>
    <n v="2"/>
    <n v="4"/>
    <n v="4"/>
    <n v="2"/>
    <x v="1"/>
    <n v="2"/>
    <n v="3"/>
    <n v="4"/>
    <n v="4"/>
    <n v="1"/>
    <n v="1"/>
    <n v="4"/>
    <n v="3"/>
    <n v="2"/>
    <n v="1"/>
    <n v="4"/>
    <n v="4"/>
    <x v="1"/>
    <n v="1"/>
    <n v="4"/>
    <n v="1"/>
    <n v="2"/>
    <n v="4"/>
    <n v="1"/>
    <n v="1"/>
    <n v="1"/>
    <n v="4"/>
    <n v="4"/>
    <n v="3"/>
    <n v="2"/>
    <n v="1"/>
    <n v="1"/>
    <n v="4"/>
    <n v="2"/>
  </r>
  <r>
    <s v="Cincinnati Bengals"/>
    <n v="2005"/>
    <n v="11"/>
    <n v="5"/>
    <x v="0"/>
    <n v="3.8"/>
    <n v="6.5"/>
    <n v="-2.7"/>
    <x v="3"/>
    <n v="4"/>
    <n v="3"/>
    <n v="4"/>
    <n v="4"/>
    <n v="3"/>
    <x v="0"/>
    <n v="4"/>
    <n v="4"/>
    <x v="3"/>
    <n v="1"/>
    <n v="1"/>
    <n v="3"/>
    <n v="3"/>
    <n v="3"/>
    <x v="1"/>
    <n v="2"/>
    <n v="1"/>
    <n v="1"/>
    <n v="1"/>
    <n v="3"/>
    <n v="3"/>
    <n v="4"/>
    <n v="4"/>
    <n v="2"/>
    <n v="2"/>
    <n v="1"/>
    <n v="2"/>
    <x v="2"/>
    <n v="3"/>
    <n v="2"/>
    <n v="4"/>
    <n v="3"/>
    <n v="2"/>
    <n v="3"/>
    <n v="2"/>
    <n v="3"/>
    <n v="1"/>
    <n v="1"/>
    <n v="2"/>
    <n v="3"/>
    <n v="3"/>
    <n v="3"/>
    <n v="4"/>
    <n v="3"/>
  </r>
  <r>
    <s v="Cleveland Browns"/>
    <n v="2005"/>
    <n v="6"/>
    <n v="10"/>
    <x v="1"/>
    <n v="-4.2"/>
    <n v="-6"/>
    <n v="1.7"/>
    <x v="1"/>
    <n v="1"/>
    <n v="1"/>
    <n v="1"/>
    <n v="2"/>
    <n v="2"/>
    <x v="3"/>
    <n v="1"/>
    <n v="1"/>
    <x v="1"/>
    <n v="4"/>
    <n v="3"/>
    <n v="1"/>
    <n v="1"/>
    <n v="1"/>
    <x v="0"/>
    <n v="3"/>
    <n v="3"/>
    <n v="3"/>
    <n v="3"/>
    <n v="3"/>
    <n v="3"/>
    <n v="4"/>
    <n v="4"/>
    <n v="1"/>
    <n v="1"/>
    <n v="3"/>
    <n v="3"/>
    <x v="1"/>
    <n v="2"/>
    <n v="3"/>
    <n v="2"/>
    <n v="1"/>
    <n v="1"/>
    <n v="1"/>
    <n v="2"/>
    <n v="1"/>
    <n v="1"/>
    <n v="1"/>
    <n v="4"/>
    <n v="4"/>
    <n v="2"/>
    <n v="4"/>
    <n v="2"/>
    <n v="1"/>
  </r>
  <r>
    <s v="Dallas Cowboys"/>
    <n v="2005"/>
    <n v="9"/>
    <n v="7"/>
    <x v="1"/>
    <n v="3.2"/>
    <n v="-0.1"/>
    <n v="3.2"/>
    <x v="2"/>
    <n v="3"/>
    <n v="4"/>
    <n v="3"/>
    <n v="2"/>
    <n v="2"/>
    <x v="1"/>
    <n v="3"/>
    <n v="3"/>
    <x v="0"/>
    <n v="4"/>
    <n v="4"/>
    <n v="4"/>
    <n v="3"/>
    <n v="2"/>
    <x v="3"/>
    <n v="3"/>
    <n v="3"/>
    <n v="4"/>
    <n v="2"/>
    <n v="2"/>
    <n v="3"/>
    <n v="3"/>
    <n v="2"/>
    <n v="1"/>
    <n v="1"/>
    <n v="3"/>
    <n v="3"/>
    <x v="0"/>
    <n v="1"/>
    <n v="1"/>
    <n v="1"/>
    <n v="1"/>
    <n v="1"/>
    <n v="1"/>
    <n v="1"/>
    <n v="1"/>
    <n v="3"/>
    <n v="3"/>
    <n v="2"/>
    <n v="2"/>
    <n v="2"/>
    <n v="2"/>
    <n v="2"/>
    <n v="2"/>
  </r>
  <r>
    <s v="Denver Broncos"/>
    <n v="2005"/>
    <n v="13"/>
    <n v="3"/>
    <x v="0"/>
    <n v="10.8"/>
    <n v="5"/>
    <n v="5.8"/>
    <x v="3"/>
    <n v="4"/>
    <n v="3"/>
    <n v="4"/>
    <n v="1"/>
    <n v="1"/>
    <x v="3"/>
    <n v="2"/>
    <n v="2"/>
    <x v="0"/>
    <n v="1"/>
    <n v="1"/>
    <n v="4"/>
    <n v="4"/>
    <n v="4"/>
    <x v="2"/>
    <n v="1"/>
    <n v="1"/>
    <n v="2"/>
    <n v="2"/>
    <n v="1"/>
    <n v="1"/>
    <n v="1"/>
    <n v="2"/>
    <n v="4"/>
    <n v="3"/>
    <n v="2"/>
    <n v="3"/>
    <x v="1"/>
    <n v="2"/>
    <n v="2"/>
    <n v="2"/>
    <n v="4"/>
    <n v="4"/>
    <n v="4"/>
    <n v="2"/>
    <n v="3"/>
    <n v="1"/>
    <n v="1"/>
    <n v="1"/>
    <n v="1"/>
    <n v="1"/>
    <n v="1"/>
    <n v="4"/>
    <n v="4"/>
  </r>
  <r>
    <s v="Detroit Lions"/>
    <n v="2005"/>
    <n v="5"/>
    <n v="11"/>
    <x v="1"/>
    <n v="-6.7"/>
    <n v="-4.3"/>
    <n v="-2.4"/>
    <x v="1"/>
    <n v="1"/>
    <n v="1"/>
    <n v="1"/>
    <n v="2"/>
    <n v="2"/>
    <x v="2"/>
    <n v="1"/>
    <n v="1"/>
    <x v="2"/>
    <n v="2"/>
    <n v="2"/>
    <n v="1"/>
    <n v="1"/>
    <n v="2"/>
    <x v="0"/>
    <n v="3"/>
    <n v="2"/>
    <n v="2"/>
    <n v="2"/>
    <n v="3"/>
    <n v="3"/>
    <n v="1"/>
    <n v="1"/>
    <n v="2"/>
    <n v="1"/>
    <n v="3"/>
    <n v="4"/>
    <x v="2"/>
    <n v="2"/>
    <n v="3"/>
    <n v="3"/>
    <n v="2"/>
    <n v="1"/>
    <n v="2"/>
    <n v="2"/>
    <n v="2"/>
    <n v="2"/>
    <n v="1"/>
    <n v="4"/>
    <n v="4"/>
    <n v="3"/>
    <n v="3"/>
    <n v="3"/>
    <n v="3"/>
  </r>
  <r>
    <s v="Green Bay Packers"/>
    <n v="2005"/>
    <n v="4"/>
    <n v="12"/>
    <x v="1"/>
    <n v="-3.7"/>
    <n v="-1.5"/>
    <n v="-2.2000000000000002"/>
    <x v="2"/>
    <n v="2"/>
    <n v="4"/>
    <n v="3"/>
    <n v="4"/>
    <n v="4"/>
    <x v="1"/>
    <n v="2"/>
    <n v="4"/>
    <x v="2"/>
    <n v="1"/>
    <n v="2"/>
    <n v="1"/>
    <n v="1"/>
    <n v="2"/>
    <x v="0"/>
    <n v="4"/>
    <n v="3"/>
    <n v="4"/>
    <n v="3"/>
    <n v="4"/>
    <n v="2"/>
    <n v="2"/>
    <n v="1"/>
    <n v="2"/>
    <n v="2"/>
    <n v="2"/>
    <n v="2"/>
    <x v="2"/>
    <n v="1"/>
    <n v="1"/>
    <n v="2"/>
    <n v="1"/>
    <n v="1"/>
    <n v="1"/>
    <n v="3"/>
    <n v="1"/>
    <n v="2"/>
    <n v="2"/>
    <n v="4"/>
    <n v="3"/>
    <n v="1"/>
    <n v="3"/>
    <n v="1"/>
    <n v="2"/>
  </r>
  <r>
    <s v="Houston Texans"/>
    <n v="2005"/>
    <n v="2"/>
    <n v="14"/>
    <x v="1"/>
    <n v="-10"/>
    <n v="-4.4000000000000004"/>
    <n v="-5.7"/>
    <x v="1"/>
    <n v="1"/>
    <n v="1"/>
    <n v="1"/>
    <n v="1"/>
    <n v="1"/>
    <x v="2"/>
    <n v="1"/>
    <n v="1"/>
    <x v="1"/>
    <n v="4"/>
    <n v="4"/>
    <n v="2"/>
    <n v="3"/>
    <n v="1"/>
    <x v="3"/>
    <n v="1"/>
    <n v="2"/>
    <n v="1"/>
    <n v="1"/>
    <n v="4"/>
    <n v="4"/>
    <n v="4"/>
    <n v="4"/>
    <n v="1"/>
    <n v="1"/>
    <n v="2"/>
    <n v="2"/>
    <x v="3"/>
    <n v="4"/>
    <n v="3"/>
    <n v="4"/>
    <n v="2"/>
    <n v="1"/>
    <n v="3"/>
    <n v="3"/>
    <n v="4"/>
    <n v="3"/>
    <n v="2"/>
    <n v="4"/>
    <n v="4"/>
    <n v="4"/>
    <n v="4"/>
    <n v="1"/>
    <n v="1"/>
  </r>
  <r>
    <s v="Indianapolis Colts"/>
    <n v="2005"/>
    <n v="14"/>
    <n v="2"/>
    <x v="0"/>
    <n v="10.8"/>
    <n v="5.6"/>
    <n v="5.2"/>
    <x v="3"/>
    <n v="4"/>
    <n v="2"/>
    <n v="4"/>
    <n v="4"/>
    <n v="2"/>
    <x v="0"/>
    <n v="4"/>
    <n v="4"/>
    <x v="3"/>
    <n v="1"/>
    <n v="1"/>
    <n v="3"/>
    <n v="2"/>
    <n v="4"/>
    <x v="2"/>
    <n v="1"/>
    <n v="1"/>
    <n v="1"/>
    <n v="1"/>
    <n v="1"/>
    <n v="1"/>
    <n v="2"/>
    <n v="2"/>
    <n v="1"/>
    <n v="2"/>
    <n v="1"/>
    <n v="1"/>
    <x v="1"/>
    <n v="2"/>
    <n v="1"/>
    <n v="1"/>
    <n v="4"/>
    <n v="2"/>
    <n v="2"/>
    <n v="1"/>
    <n v="2"/>
    <n v="4"/>
    <n v="4"/>
    <n v="1"/>
    <n v="2"/>
    <n v="1"/>
    <n v="2"/>
    <n v="3"/>
    <n v="3"/>
  </r>
  <r>
    <s v="Jacksonville Jaguars"/>
    <n v="2005"/>
    <n v="12"/>
    <n v="4"/>
    <x v="0"/>
    <n v="4.8"/>
    <n v="1.1000000000000001"/>
    <n v="3.7"/>
    <x v="0"/>
    <n v="2"/>
    <n v="3"/>
    <n v="3"/>
    <n v="2"/>
    <n v="2"/>
    <x v="3"/>
    <n v="2"/>
    <n v="2"/>
    <x v="0"/>
    <n v="2"/>
    <n v="1"/>
    <n v="4"/>
    <n v="3"/>
    <n v="4"/>
    <x v="3"/>
    <n v="1"/>
    <n v="2"/>
    <n v="4"/>
    <n v="4"/>
    <n v="1"/>
    <n v="1"/>
    <n v="2"/>
    <n v="2"/>
    <n v="3"/>
    <n v="2"/>
    <n v="3"/>
    <n v="4"/>
    <x v="1"/>
    <n v="1"/>
    <n v="1"/>
    <n v="1"/>
    <n v="1"/>
    <n v="1"/>
    <n v="1"/>
    <n v="3"/>
    <n v="1"/>
    <n v="4"/>
    <n v="4"/>
    <n v="2"/>
    <n v="2"/>
    <n v="1"/>
    <n v="1"/>
    <n v="3"/>
    <n v="1"/>
  </r>
  <r>
    <s v="Kansas City Chiefs"/>
    <n v="2005"/>
    <n v="10"/>
    <n v="6"/>
    <x v="1"/>
    <n v="7"/>
    <n v="5.0999999999999996"/>
    <n v="1.9"/>
    <x v="3"/>
    <n v="4"/>
    <n v="4"/>
    <n v="4"/>
    <n v="3"/>
    <n v="2"/>
    <x v="1"/>
    <n v="2"/>
    <n v="3"/>
    <x v="3"/>
    <n v="2"/>
    <n v="2"/>
    <n v="4"/>
    <n v="4"/>
    <n v="4"/>
    <x v="2"/>
    <n v="1"/>
    <n v="3"/>
    <n v="3"/>
    <n v="2"/>
    <n v="3"/>
    <n v="3"/>
    <n v="4"/>
    <n v="4"/>
    <n v="2"/>
    <n v="1"/>
    <n v="1"/>
    <n v="2"/>
    <x v="0"/>
    <n v="3"/>
    <n v="1"/>
    <n v="2"/>
    <n v="3"/>
    <n v="4"/>
    <n v="4"/>
    <n v="3"/>
    <n v="4"/>
    <n v="1"/>
    <n v="1"/>
    <n v="1"/>
    <n v="1"/>
    <n v="2"/>
    <n v="2"/>
    <n v="2"/>
    <n v="4"/>
  </r>
  <r>
    <s v="Miami Dolphins"/>
    <n v="2005"/>
    <n v="9"/>
    <n v="7"/>
    <x v="1"/>
    <n v="-0.8"/>
    <n v="-1.1000000000000001"/>
    <n v="0.3"/>
    <x v="2"/>
    <n v="3"/>
    <n v="3"/>
    <n v="1"/>
    <n v="2"/>
    <n v="3"/>
    <x v="3"/>
    <n v="3"/>
    <n v="2"/>
    <x v="2"/>
    <n v="1"/>
    <n v="1"/>
    <n v="3"/>
    <n v="3"/>
    <n v="2"/>
    <x v="3"/>
    <n v="2"/>
    <n v="3"/>
    <n v="3"/>
    <n v="3"/>
    <n v="3"/>
    <n v="3"/>
    <n v="4"/>
    <n v="3"/>
    <n v="1"/>
    <n v="2"/>
    <n v="4"/>
    <n v="4"/>
    <x v="0"/>
    <n v="2"/>
    <n v="4"/>
    <n v="4"/>
    <n v="3"/>
    <n v="4"/>
    <n v="2"/>
    <n v="3"/>
    <n v="3"/>
    <n v="4"/>
    <n v="4"/>
    <n v="4"/>
    <n v="2"/>
    <n v="2"/>
    <n v="2"/>
    <n v="2"/>
    <n v="4"/>
  </r>
  <r>
    <s v="Minnesota Vikings"/>
    <n v="2005"/>
    <n v="9"/>
    <n v="7"/>
    <x v="1"/>
    <n v="-3.5"/>
    <n v="-1.4"/>
    <n v="-2.1"/>
    <x v="2"/>
    <n v="1"/>
    <n v="1"/>
    <n v="2"/>
    <n v="3"/>
    <n v="2"/>
    <x v="3"/>
    <n v="2"/>
    <n v="2"/>
    <x v="0"/>
    <n v="4"/>
    <n v="4"/>
    <n v="1"/>
    <n v="1"/>
    <n v="2"/>
    <x v="0"/>
    <n v="2"/>
    <n v="3"/>
    <n v="3"/>
    <n v="3"/>
    <n v="3"/>
    <n v="3"/>
    <n v="3"/>
    <n v="2"/>
    <n v="4"/>
    <n v="4"/>
    <n v="3"/>
    <n v="3"/>
    <x v="2"/>
    <n v="2"/>
    <n v="3"/>
    <n v="3"/>
    <n v="3"/>
    <n v="3"/>
    <n v="2"/>
    <n v="3"/>
    <n v="3"/>
    <n v="2"/>
    <n v="2"/>
    <n v="3"/>
    <n v="3"/>
    <n v="3"/>
    <n v="2"/>
    <n v="4"/>
    <n v="2"/>
  </r>
  <r>
    <s v="New England Patriots"/>
    <n v="2005"/>
    <n v="10"/>
    <n v="6"/>
    <x v="0"/>
    <n v="3.1"/>
    <n v="3.7"/>
    <n v="-0.5"/>
    <x v="0"/>
    <n v="4"/>
    <n v="4"/>
    <n v="4"/>
    <n v="4"/>
    <n v="4"/>
    <x v="0"/>
    <n v="4"/>
    <n v="4"/>
    <x v="3"/>
    <n v="1"/>
    <n v="2"/>
    <n v="3"/>
    <n v="1"/>
    <n v="3"/>
    <x v="1"/>
    <n v="2"/>
    <n v="1"/>
    <n v="3"/>
    <n v="3"/>
    <n v="3"/>
    <n v="3"/>
    <n v="2"/>
    <n v="2"/>
    <n v="1"/>
    <n v="1"/>
    <n v="2"/>
    <n v="3"/>
    <x v="0"/>
    <n v="3"/>
    <n v="2"/>
    <n v="3"/>
    <n v="2"/>
    <n v="3"/>
    <n v="4"/>
    <n v="3"/>
    <n v="3"/>
    <n v="2"/>
    <n v="2"/>
    <n v="2"/>
    <n v="1"/>
    <n v="2"/>
    <n v="2"/>
    <n v="1"/>
    <n v="1"/>
  </r>
  <r>
    <s v="New Orleans Saints"/>
    <n v="2005"/>
    <n v="3"/>
    <n v="13"/>
    <x v="1"/>
    <n v="-11.1"/>
    <n v="-6.2"/>
    <n v="-4.9000000000000004"/>
    <x v="1"/>
    <n v="2"/>
    <n v="3"/>
    <n v="3"/>
    <n v="2"/>
    <n v="3"/>
    <x v="1"/>
    <n v="1"/>
    <n v="3"/>
    <x v="2"/>
    <n v="3"/>
    <n v="3"/>
    <n v="2"/>
    <n v="2"/>
    <n v="1"/>
    <x v="3"/>
    <n v="4"/>
    <n v="4"/>
    <n v="4"/>
    <n v="3"/>
    <n v="4"/>
    <n v="3"/>
    <n v="3"/>
    <n v="3"/>
    <n v="3"/>
    <n v="2"/>
    <n v="2"/>
    <n v="2"/>
    <x v="3"/>
    <n v="2"/>
    <n v="1"/>
    <n v="2"/>
    <n v="1"/>
    <n v="1"/>
    <n v="1"/>
    <n v="2"/>
    <n v="1"/>
    <n v="1"/>
    <n v="1"/>
    <n v="4"/>
    <n v="4"/>
    <n v="3"/>
    <n v="3"/>
    <n v="1"/>
    <n v="1"/>
  </r>
  <r>
    <s v="New York Giants"/>
    <n v="2005"/>
    <n v="11"/>
    <n v="5"/>
    <x v="0"/>
    <n v="7.5"/>
    <n v="5.8"/>
    <n v="1.7"/>
    <x v="3"/>
    <n v="4"/>
    <n v="4"/>
    <n v="3"/>
    <n v="2"/>
    <n v="4"/>
    <x v="1"/>
    <n v="3"/>
    <n v="2"/>
    <x v="1"/>
    <n v="1"/>
    <n v="2"/>
    <n v="3"/>
    <n v="4"/>
    <n v="3"/>
    <x v="1"/>
    <n v="3"/>
    <n v="1"/>
    <n v="4"/>
    <n v="4"/>
    <n v="2"/>
    <n v="3"/>
    <n v="4"/>
    <n v="4"/>
    <n v="4"/>
    <n v="4"/>
    <n v="2"/>
    <n v="2"/>
    <x v="0"/>
    <n v="3"/>
    <n v="4"/>
    <n v="3"/>
    <n v="3"/>
    <n v="4"/>
    <n v="3"/>
    <n v="2"/>
    <n v="4"/>
    <n v="4"/>
    <n v="4"/>
    <n v="2"/>
    <n v="2"/>
    <n v="2"/>
    <n v="1"/>
    <n v="3"/>
    <n v="4"/>
  </r>
  <r>
    <s v="New York Jets"/>
    <n v="2005"/>
    <n v="4"/>
    <n v="12"/>
    <x v="1"/>
    <n v="-6.4"/>
    <n v="-5.2"/>
    <n v="-1.2"/>
    <x v="1"/>
    <n v="1"/>
    <n v="1"/>
    <n v="1"/>
    <n v="1"/>
    <n v="1"/>
    <x v="2"/>
    <n v="1"/>
    <n v="1"/>
    <x v="2"/>
    <n v="4"/>
    <n v="4"/>
    <n v="1"/>
    <n v="1"/>
    <n v="2"/>
    <x v="0"/>
    <n v="2"/>
    <n v="4"/>
    <n v="2"/>
    <n v="1"/>
    <n v="3"/>
    <n v="4"/>
    <n v="2"/>
    <n v="2"/>
    <n v="3"/>
    <n v="2"/>
    <n v="2"/>
    <n v="3"/>
    <x v="2"/>
    <n v="2"/>
    <n v="4"/>
    <n v="4"/>
    <n v="1"/>
    <n v="1"/>
    <n v="1"/>
    <n v="1"/>
    <n v="1"/>
    <n v="1"/>
    <n v="2"/>
    <n v="4"/>
    <n v="4"/>
    <n v="4"/>
    <n v="4"/>
    <n v="4"/>
    <n v="1"/>
  </r>
  <r>
    <s v="Oakland Raiders"/>
    <n v="2005"/>
    <n v="4"/>
    <n v="12"/>
    <x v="1"/>
    <n v="-2.8"/>
    <n v="-1.2"/>
    <n v="-1.6"/>
    <x v="1"/>
    <n v="2"/>
    <n v="2"/>
    <n v="2"/>
    <n v="3"/>
    <n v="4"/>
    <x v="1"/>
    <n v="2"/>
    <n v="3"/>
    <x v="1"/>
    <n v="4"/>
    <n v="4"/>
    <n v="1"/>
    <n v="1"/>
    <n v="2"/>
    <x v="0"/>
    <n v="2"/>
    <n v="1"/>
    <n v="3"/>
    <n v="1"/>
    <n v="4"/>
    <n v="4"/>
    <n v="1"/>
    <n v="1"/>
    <n v="4"/>
    <n v="2"/>
    <n v="3"/>
    <n v="4"/>
    <x v="2"/>
    <n v="3"/>
    <n v="3"/>
    <n v="3"/>
    <n v="2"/>
    <n v="1"/>
    <n v="2"/>
    <n v="1"/>
    <n v="2"/>
    <n v="3"/>
    <n v="3"/>
    <n v="4"/>
    <n v="4"/>
    <n v="4"/>
    <n v="3"/>
    <n v="1"/>
    <n v="3"/>
  </r>
  <r>
    <s v="Philadelphia Eagles"/>
    <n v="2005"/>
    <n v="6"/>
    <n v="10"/>
    <x v="1"/>
    <n v="-2.2999999999999998"/>
    <n v="-0.6"/>
    <n v="-1.7"/>
    <x v="2"/>
    <n v="2"/>
    <n v="3"/>
    <n v="2"/>
    <n v="3"/>
    <n v="4"/>
    <x v="1"/>
    <n v="2"/>
    <n v="3"/>
    <x v="2"/>
    <n v="3"/>
    <n v="3"/>
    <n v="1"/>
    <n v="1"/>
    <n v="2"/>
    <x v="0"/>
    <n v="4"/>
    <n v="3"/>
    <n v="4"/>
    <n v="4"/>
    <n v="3"/>
    <n v="3"/>
    <n v="1"/>
    <n v="2"/>
    <n v="3"/>
    <n v="2"/>
    <n v="4"/>
    <n v="4"/>
    <x v="3"/>
    <n v="2"/>
    <n v="4"/>
    <n v="2"/>
    <n v="2"/>
    <n v="2"/>
    <n v="2"/>
    <n v="3"/>
    <n v="2"/>
    <n v="1"/>
    <n v="1"/>
    <n v="4"/>
    <n v="3"/>
    <n v="3"/>
    <n v="2"/>
    <n v="3"/>
    <n v="2"/>
  </r>
  <r>
    <s v="Pittsburgh Steelers"/>
    <n v="2005"/>
    <n v="11"/>
    <n v="5"/>
    <x v="0"/>
    <n v="7.8"/>
    <n v="3.8"/>
    <n v="4"/>
    <x v="0"/>
    <n v="2"/>
    <n v="1"/>
    <n v="2"/>
    <n v="1"/>
    <n v="1"/>
    <x v="3"/>
    <n v="2"/>
    <n v="1"/>
    <x v="3"/>
    <n v="2"/>
    <n v="2"/>
    <n v="4"/>
    <n v="4"/>
    <n v="4"/>
    <x v="2"/>
    <n v="2"/>
    <n v="1"/>
    <n v="4"/>
    <n v="4"/>
    <n v="1"/>
    <n v="1"/>
    <n v="2"/>
    <n v="3"/>
    <n v="2"/>
    <n v="1"/>
    <n v="2"/>
    <n v="2"/>
    <x v="1"/>
    <n v="1"/>
    <n v="2"/>
    <n v="1"/>
    <n v="3"/>
    <n v="4"/>
    <n v="2"/>
    <n v="1"/>
    <n v="3"/>
    <n v="4"/>
    <n v="4"/>
    <n v="1"/>
    <n v="1"/>
    <n v="1"/>
    <n v="1"/>
    <n v="2"/>
    <n v="4"/>
  </r>
  <r>
    <s v="San Diego Chargers"/>
    <n v="2005"/>
    <n v="9"/>
    <n v="7"/>
    <x v="1"/>
    <n v="9.9"/>
    <n v="7.1"/>
    <n v="2.9"/>
    <x v="3"/>
    <n v="3"/>
    <n v="3"/>
    <n v="4"/>
    <n v="3"/>
    <n v="3"/>
    <x v="1"/>
    <n v="4"/>
    <n v="3"/>
    <x v="3"/>
    <n v="2"/>
    <n v="3"/>
    <n v="3"/>
    <n v="4"/>
    <n v="4"/>
    <x v="2"/>
    <n v="2"/>
    <n v="2"/>
    <n v="3"/>
    <n v="2"/>
    <n v="3"/>
    <n v="4"/>
    <n v="1"/>
    <n v="1"/>
    <n v="2"/>
    <n v="2"/>
    <n v="2"/>
    <n v="2"/>
    <x v="0"/>
    <n v="2"/>
    <n v="3"/>
    <n v="3"/>
    <n v="4"/>
    <n v="4"/>
    <n v="3"/>
    <n v="2"/>
    <n v="4"/>
    <n v="4"/>
    <n v="4"/>
    <n v="1"/>
    <n v="1"/>
    <n v="3"/>
    <n v="2"/>
    <n v="1"/>
    <n v="2"/>
  </r>
  <r>
    <s v="San Francisco 49ers"/>
    <n v="2005"/>
    <n v="4"/>
    <n v="12"/>
    <x v="1"/>
    <n v="-11.1"/>
    <n v="-5.6"/>
    <n v="-5.5"/>
    <x v="1"/>
    <n v="1"/>
    <n v="1"/>
    <n v="1"/>
    <n v="1"/>
    <n v="1"/>
    <x v="2"/>
    <n v="1"/>
    <n v="1"/>
    <x v="2"/>
    <n v="4"/>
    <n v="4"/>
    <n v="2"/>
    <n v="2"/>
    <n v="1"/>
    <x v="0"/>
    <n v="4"/>
    <n v="3"/>
    <n v="1"/>
    <n v="1"/>
    <n v="4"/>
    <n v="3"/>
    <n v="2"/>
    <n v="2"/>
    <n v="3"/>
    <n v="4"/>
    <n v="4"/>
    <n v="4"/>
    <x v="3"/>
    <n v="4"/>
    <n v="4"/>
    <n v="4"/>
    <n v="4"/>
    <n v="4"/>
    <n v="4"/>
    <n v="4"/>
    <n v="4"/>
    <n v="1"/>
    <n v="2"/>
    <n v="4"/>
    <n v="2"/>
    <n v="4"/>
    <n v="4"/>
    <n v="2"/>
    <n v="2"/>
  </r>
  <r>
    <s v="Seattle Seahawks"/>
    <n v="2005"/>
    <n v="13"/>
    <n v="3"/>
    <x v="0"/>
    <n v="9.1"/>
    <n v="5.8"/>
    <n v="3.4"/>
    <x v="3"/>
    <n v="4"/>
    <n v="3"/>
    <n v="4"/>
    <n v="2"/>
    <n v="1"/>
    <x v="1"/>
    <n v="3"/>
    <n v="3"/>
    <x v="3"/>
    <n v="1"/>
    <n v="2"/>
    <n v="4"/>
    <n v="4"/>
    <n v="4"/>
    <x v="2"/>
    <n v="1"/>
    <n v="1"/>
    <n v="2"/>
    <n v="1"/>
    <n v="2"/>
    <n v="2"/>
    <n v="1"/>
    <n v="1"/>
    <n v="4"/>
    <n v="3"/>
    <n v="3"/>
    <n v="3"/>
    <x v="1"/>
    <n v="2"/>
    <n v="4"/>
    <n v="2"/>
    <n v="3"/>
    <n v="4"/>
    <n v="3"/>
    <n v="1"/>
    <n v="4"/>
    <n v="4"/>
    <n v="4"/>
    <n v="2"/>
    <n v="1"/>
    <n v="1"/>
    <n v="1"/>
    <n v="2"/>
    <n v="2"/>
  </r>
  <r>
    <s v="St. Louis Rams"/>
    <n v="2005"/>
    <n v="6"/>
    <n v="10"/>
    <x v="1"/>
    <n v="-5.0999999999999996"/>
    <n v="1.3"/>
    <n v="-6.4"/>
    <x v="0"/>
    <n v="3"/>
    <n v="3"/>
    <n v="3"/>
    <n v="4"/>
    <n v="4"/>
    <x v="0"/>
    <n v="3"/>
    <n v="4"/>
    <x v="0"/>
    <n v="4"/>
    <n v="4"/>
    <n v="1"/>
    <n v="1"/>
    <n v="2"/>
    <x v="0"/>
    <n v="4"/>
    <n v="3"/>
    <n v="1"/>
    <n v="1"/>
    <n v="4"/>
    <n v="3"/>
    <n v="1"/>
    <n v="2"/>
    <n v="4"/>
    <n v="4"/>
    <n v="2"/>
    <n v="2"/>
    <x v="3"/>
    <n v="4"/>
    <n v="3"/>
    <n v="4"/>
    <n v="2"/>
    <n v="2"/>
    <n v="3"/>
    <n v="4"/>
    <n v="3"/>
    <n v="4"/>
    <n v="2"/>
    <n v="3"/>
    <n v="4"/>
    <n v="4"/>
    <n v="4"/>
    <n v="1"/>
    <n v="3"/>
  </r>
  <r>
    <s v="Tampa Bay Buccaneers"/>
    <n v="2005"/>
    <n v="11"/>
    <n v="5"/>
    <x v="0"/>
    <n v="-1"/>
    <n v="-2.8"/>
    <n v="1.8"/>
    <x v="2"/>
    <n v="1"/>
    <n v="2"/>
    <n v="1"/>
    <n v="2"/>
    <n v="2"/>
    <x v="2"/>
    <n v="2"/>
    <n v="2"/>
    <x v="1"/>
    <n v="3"/>
    <n v="4"/>
    <n v="3"/>
    <n v="3"/>
    <n v="2"/>
    <x v="0"/>
    <n v="2"/>
    <n v="1"/>
    <n v="4"/>
    <n v="4"/>
    <n v="2"/>
    <n v="1"/>
    <n v="1"/>
    <n v="1"/>
    <n v="3"/>
    <n v="4"/>
    <n v="4"/>
    <n v="4"/>
    <x v="1"/>
    <n v="1"/>
    <n v="1"/>
    <n v="1"/>
    <n v="1"/>
    <n v="1"/>
    <n v="1"/>
    <n v="1"/>
    <n v="1"/>
    <n v="3"/>
    <n v="3"/>
    <n v="2"/>
    <n v="1"/>
    <n v="1"/>
    <n v="1"/>
    <n v="3"/>
    <n v="3"/>
  </r>
  <r>
    <s v="Tennessee Titans"/>
    <n v="2005"/>
    <n v="4"/>
    <n v="12"/>
    <x v="1"/>
    <n v="-7.6"/>
    <n v="-2"/>
    <n v="-5.5"/>
    <x v="2"/>
    <n v="2"/>
    <n v="3"/>
    <n v="2"/>
    <n v="4"/>
    <n v="4"/>
    <x v="1"/>
    <n v="2"/>
    <n v="3"/>
    <x v="1"/>
    <n v="2"/>
    <n v="2"/>
    <n v="1"/>
    <n v="1"/>
    <n v="1"/>
    <x v="0"/>
    <n v="2"/>
    <n v="2"/>
    <n v="4"/>
    <n v="4"/>
    <n v="3"/>
    <n v="4"/>
    <n v="2"/>
    <n v="2"/>
    <n v="3"/>
    <n v="2"/>
    <n v="3"/>
    <n v="3"/>
    <x v="3"/>
    <n v="2"/>
    <n v="1"/>
    <n v="2"/>
    <n v="2"/>
    <n v="1"/>
    <n v="2"/>
    <n v="4"/>
    <n v="3"/>
    <n v="4"/>
    <n v="3"/>
    <n v="3"/>
    <n v="3"/>
    <n v="2"/>
    <n v="2"/>
    <n v="1"/>
    <n v="2"/>
  </r>
  <r>
    <s v="Washington Redskins"/>
    <n v="2005"/>
    <n v="10"/>
    <n v="6"/>
    <x v="0"/>
    <n v="6"/>
    <n v="2.6"/>
    <n v="3.4"/>
    <x v="0"/>
    <n v="3"/>
    <n v="4"/>
    <n v="3"/>
    <n v="1"/>
    <n v="2"/>
    <x v="3"/>
    <n v="3"/>
    <n v="2"/>
    <x v="0"/>
    <n v="2"/>
    <n v="3"/>
    <n v="4"/>
    <n v="4"/>
    <n v="3"/>
    <x v="2"/>
    <n v="1"/>
    <n v="3"/>
    <n v="1"/>
    <n v="1"/>
    <n v="2"/>
    <n v="2"/>
    <n v="1"/>
    <n v="1"/>
    <n v="1"/>
    <n v="1"/>
    <n v="4"/>
    <n v="3"/>
    <x v="1"/>
    <n v="1"/>
    <n v="2"/>
    <n v="1"/>
    <n v="1"/>
    <n v="3"/>
    <n v="1"/>
    <n v="1"/>
    <n v="1"/>
    <n v="2"/>
    <n v="3"/>
    <n v="2"/>
    <n v="2"/>
    <n v="3"/>
    <n v="1"/>
    <n v="2"/>
    <n v="3"/>
  </r>
  <r>
    <s v="Arizona Cardinals"/>
    <n v="2004"/>
    <n v="6"/>
    <n v="10"/>
    <x v="1"/>
    <n v="-4.9000000000000004"/>
    <n v="-5"/>
    <n v="0.2"/>
    <x v="1"/>
    <n v="1"/>
    <n v="4"/>
    <n v="2"/>
    <n v="2"/>
    <n v="3"/>
    <x v="2"/>
    <n v="1"/>
    <n v="1"/>
    <x v="2"/>
    <n v="3"/>
    <n v="4"/>
    <n v="3"/>
    <n v="2"/>
    <n v="3"/>
    <x v="3"/>
    <n v="3"/>
    <n v="2"/>
    <n v="4"/>
    <n v="3"/>
    <n v="2"/>
    <n v="1"/>
    <n v="1"/>
    <n v="1"/>
    <n v="4"/>
    <n v="4"/>
    <n v="4"/>
    <n v="4"/>
    <x v="0"/>
    <n v="2"/>
    <n v="2"/>
    <n v="2"/>
    <n v="1"/>
    <n v="2"/>
    <n v="1"/>
    <n v="1"/>
    <n v="1"/>
    <n v="3"/>
    <n v="3"/>
    <n v="3"/>
    <n v="4"/>
    <n v="2"/>
    <n v="3"/>
    <n v="2"/>
    <n v="4"/>
  </r>
  <r>
    <s v="Atlanta Falcons"/>
    <n v="2004"/>
    <n v="11"/>
    <n v="5"/>
    <x v="0"/>
    <n v="-2.2000000000000002"/>
    <n v="-1.8"/>
    <n v="-0.4"/>
    <x v="2"/>
    <n v="2"/>
    <n v="1"/>
    <n v="2"/>
    <n v="1"/>
    <n v="1"/>
    <x v="2"/>
    <n v="1"/>
    <n v="1"/>
    <x v="2"/>
    <n v="4"/>
    <n v="3"/>
    <n v="4"/>
    <n v="4"/>
    <n v="4"/>
    <x v="2"/>
    <n v="2"/>
    <n v="3"/>
    <n v="3"/>
    <n v="4"/>
    <n v="2"/>
    <n v="2"/>
    <n v="2"/>
    <n v="2"/>
    <n v="1"/>
    <n v="1"/>
    <n v="2"/>
    <n v="2"/>
    <x v="0"/>
    <n v="2"/>
    <n v="3"/>
    <n v="3"/>
    <n v="3"/>
    <n v="2"/>
    <n v="3"/>
    <n v="2"/>
    <n v="3"/>
    <n v="4"/>
    <n v="4"/>
    <n v="2"/>
    <n v="2"/>
    <n v="4"/>
    <n v="3"/>
    <n v="3"/>
    <n v="3"/>
  </r>
  <r>
    <s v="Baltimore Ravens"/>
    <n v="2004"/>
    <n v="9"/>
    <n v="7"/>
    <x v="1"/>
    <n v="6.1"/>
    <n v="-0.6"/>
    <n v="6.8"/>
    <x v="2"/>
    <n v="1"/>
    <n v="2"/>
    <n v="1"/>
    <n v="1"/>
    <n v="1"/>
    <x v="2"/>
    <n v="1"/>
    <n v="1"/>
    <x v="2"/>
    <n v="3"/>
    <n v="3"/>
    <n v="4"/>
    <n v="3"/>
    <n v="2"/>
    <x v="1"/>
    <n v="1"/>
    <n v="2"/>
    <n v="4"/>
    <n v="4"/>
    <n v="2"/>
    <n v="1"/>
    <n v="3"/>
    <n v="3"/>
    <n v="3"/>
    <n v="4"/>
    <n v="4"/>
    <n v="4"/>
    <x v="1"/>
    <n v="1"/>
    <n v="3"/>
    <n v="1"/>
    <n v="1"/>
    <n v="2"/>
    <n v="2"/>
    <n v="1"/>
    <n v="1"/>
    <n v="3"/>
    <n v="4"/>
    <n v="3"/>
    <n v="2"/>
    <n v="1"/>
    <n v="2"/>
    <n v="4"/>
    <n v="3"/>
  </r>
  <r>
    <s v="Buffalo Bills"/>
    <n v="2004"/>
    <n v="9"/>
    <n v="7"/>
    <x v="1"/>
    <n v="8.1"/>
    <n v="4.5999999999999996"/>
    <n v="3.5"/>
    <x v="3"/>
    <n v="1"/>
    <n v="2"/>
    <n v="1"/>
    <n v="1"/>
    <n v="1"/>
    <x v="2"/>
    <n v="2"/>
    <n v="1"/>
    <x v="1"/>
    <n v="3"/>
    <n v="2"/>
    <n v="3"/>
    <n v="3"/>
    <n v="3"/>
    <x v="1"/>
    <n v="3"/>
    <n v="2"/>
    <n v="4"/>
    <n v="4"/>
    <n v="2"/>
    <n v="3"/>
    <n v="4"/>
    <n v="4"/>
    <n v="1"/>
    <n v="1"/>
    <n v="3"/>
    <n v="3"/>
    <x v="1"/>
    <n v="1"/>
    <n v="2"/>
    <n v="1"/>
    <n v="1"/>
    <n v="1"/>
    <n v="1"/>
    <n v="2"/>
    <n v="1"/>
    <n v="4"/>
    <n v="4"/>
    <n v="3"/>
    <n v="2"/>
    <n v="1"/>
    <n v="1"/>
    <n v="4"/>
    <n v="4"/>
  </r>
  <r>
    <s v="Carolina Panthers"/>
    <n v="2004"/>
    <n v="7"/>
    <n v="9"/>
    <x v="1"/>
    <n v="-0.7"/>
    <n v="-0.8"/>
    <n v="0.1"/>
    <x v="0"/>
    <n v="3"/>
    <n v="2"/>
    <n v="3"/>
    <n v="2"/>
    <n v="3"/>
    <x v="1"/>
    <n v="4"/>
    <n v="3"/>
    <x v="0"/>
    <n v="2"/>
    <n v="3"/>
    <n v="2"/>
    <n v="1"/>
    <n v="2"/>
    <x v="3"/>
    <n v="2"/>
    <n v="2"/>
    <n v="1"/>
    <n v="1"/>
    <n v="2"/>
    <n v="2"/>
    <n v="2"/>
    <n v="2"/>
    <n v="1"/>
    <n v="1"/>
    <n v="3"/>
    <n v="3"/>
    <x v="0"/>
    <n v="3"/>
    <n v="3"/>
    <n v="3"/>
    <n v="2"/>
    <n v="2"/>
    <n v="3"/>
    <n v="1"/>
    <n v="3"/>
    <n v="2"/>
    <n v="3"/>
    <n v="3"/>
    <n v="3"/>
    <n v="4"/>
    <n v="2"/>
    <n v="4"/>
    <n v="3"/>
  </r>
  <r>
    <s v="Chicago Bears"/>
    <n v="2004"/>
    <n v="5"/>
    <n v="11"/>
    <x v="1"/>
    <n v="-8.1999999999999993"/>
    <n v="-8.5"/>
    <n v="0.3"/>
    <x v="1"/>
    <n v="1"/>
    <n v="1"/>
    <n v="1"/>
    <n v="1"/>
    <n v="1"/>
    <x v="2"/>
    <n v="1"/>
    <n v="1"/>
    <x v="2"/>
    <n v="4"/>
    <n v="4"/>
    <n v="2"/>
    <n v="2"/>
    <n v="2"/>
    <x v="3"/>
    <n v="2"/>
    <n v="4"/>
    <n v="4"/>
    <n v="4"/>
    <n v="4"/>
    <n v="3"/>
    <n v="1"/>
    <n v="1"/>
    <n v="3"/>
    <n v="2"/>
    <n v="4"/>
    <n v="4"/>
    <x v="0"/>
    <n v="3"/>
    <n v="4"/>
    <n v="3"/>
    <n v="1"/>
    <n v="2"/>
    <n v="2"/>
    <n v="3"/>
    <n v="2"/>
    <n v="2"/>
    <n v="1"/>
    <n v="4"/>
    <n v="4"/>
    <n v="1"/>
    <n v="3"/>
    <n v="3"/>
    <n v="3"/>
  </r>
  <r>
    <s v="Cincinnati Bengals"/>
    <n v="2004"/>
    <n v="8"/>
    <n v="8"/>
    <x v="1"/>
    <n v="2.7"/>
    <n v="4.3"/>
    <n v="-1.6"/>
    <x v="0"/>
    <n v="2"/>
    <n v="2"/>
    <n v="2"/>
    <n v="3"/>
    <n v="3"/>
    <x v="3"/>
    <n v="3"/>
    <n v="2"/>
    <x v="1"/>
    <n v="2"/>
    <n v="2"/>
    <n v="2"/>
    <n v="3"/>
    <n v="3"/>
    <x v="3"/>
    <n v="4"/>
    <n v="1"/>
    <n v="2"/>
    <n v="3"/>
    <n v="3"/>
    <n v="2"/>
    <n v="3"/>
    <n v="3"/>
    <n v="3"/>
    <n v="3"/>
    <n v="3"/>
    <n v="3"/>
    <x v="2"/>
    <n v="3"/>
    <n v="4"/>
    <n v="3"/>
    <n v="2"/>
    <n v="2"/>
    <n v="2"/>
    <n v="3"/>
    <n v="1"/>
    <n v="3"/>
    <n v="3"/>
    <n v="3"/>
    <n v="4"/>
    <n v="2"/>
    <n v="4"/>
    <n v="4"/>
    <n v="4"/>
  </r>
  <r>
    <s v="Cleveland Browns"/>
    <n v="2004"/>
    <n v="4"/>
    <n v="12"/>
    <x v="1"/>
    <n v="-3.4"/>
    <n v="-1.5"/>
    <n v="-1.9"/>
    <x v="1"/>
    <n v="1"/>
    <n v="1"/>
    <n v="1"/>
    <n v="1"/>
    <n v="1"/>
    <x v="2"/>
    <n v="2"/>
    <n v="1"/>
    <x v="1"/>
    <n v="3"/>
    <n v="3"/>
    <n v="3"/>
    <n v="2"/>
    <n v="1"/>
    <x v="3"/>
    <n v="4"/>
    <n v="4"/>
    <n v="2"/>
    <n v="4"/>
    <n v="4"/>
    <n v="3"/>
    <n v="3"/>
    <n v="3"/>
    <n v="2"/>
    <n v="2"/>
    <n v="4"/>
    <n v="3"/>
    <x v="3"/>
    <n v="2"/>
    <n v="3"/>
    <n v="3"/>
    <n v="1"/>
    <n v="1"/>
    <n v="1"/>
    <n v="1"/>
    <n v="1"/>
    <n v="2"/>
    <n v="1"/>
    <n v="4"/>
    <n v="4"/>
    <n v="4"/>
    <n v="4"/>
    <n v="2"/>
    <n v="3"/>
  </r>
  <r>
    <s v="Dallas Cowboys"/>
    <n v="2004"/>
    <n v="6"/>
    <n v="10"/>
    <x v="1"/>
    <n v="-7.8"/>
    <n v="-3"/>
    <n v="-4.8"/>
    <x v="2"/>
    <n v="2"/>
    <n v="2"/>
    <n v="2"/>
    <n v="2"/>
    <n v="2"/>
    <x v="1"/>
    <n v="2"/>
    <n v="2"/>
    <x v="1"/>
    <n v="3"/>
    <n v="2"/>
    <n v="3"/>
    <n v="2"/>
    <n v="3"/>
    <x v="1"/>
    <n v="4"/>
    <n v="3"/>
    <n v="4"/>
    <n v="3"/>
    <n v="4"/>
    <n v="3"/>
    <n v="1"/>
    <n v="1"/>
    <n v="4"/>
    <n v="3"/>
    <n v="2"/>
    <n v="3"/>
    <x v="3"/>
    <n v="3"/>
    <n v="1"/>
    <n v="2"/>
    <n v="2"/>
    <n v="2"/>
    <n v="3"/>
    <n v="4"/>
    <n v="3"/>
    <n v="2"/>
    <n v="2"/>
    <n v="2"/>
    <n v="2"/>
    <n v="3"/>
    <n v="2"/>
    <n v="1"/>
    <n v="1"/>
  </r>
  <r>
    <s v="Denver Broncos"/>
    <n v="2004"/>
    <n v="10"/>
    <n v="6"/>
    <x v="0"/>
    <n v="5.9"/>
    <n v="1.6"/>
    <n v="4.3"/>
    <x v="0"/>
    <n v="4"/>
    <n v="4"/>
    <n v="4"/>
    <n v="2"/>
    <n v="2"/>
    <x v="0"/>
    <n v="4"/>
    <n v="3"/>
    <x v="0"/>
    <n v="1"/>
    <n v="1"/>
    <n v="4"/>
    <n v="4"/>
    <n v="2"/>
    <x v="2"/>
    <n v="4"/>
    <n v="1"/>
    <n v="3"/>
    <n v="4"/>
    <n v="1"/>
    <n v="1"/>
    <n v="2"/>
    <n v="3"/>
    <n v="4"/>
    <n v="4"/>
    <n v="2"/>
    <n v="2"/>
    <x v="0"/>
    <n v="1"/>
    <n v="1"/>
    <n v="1"/>
    <n v="1"/>
    <n v="1"/>
    <n v="1"/>
    <n v="1"/>
    <n v="1"/>
    <n v="3"/>
    <n v="4"/>
    <n v="1"/>
    <n v="1"/>
    <n v="3"/>
    <n v="1"/>
    <n v="1"/>
    <n v="1"/>
  </r>
  <r>
    <s v="Detroit Lions"/>
    <n v="2004"/>
    <n v="6"/>
    <n v="10"/>
    <x v="1"/>
    <n v="-5.2"/>
    <n v="-3.8"/>
    <n v="-1.4"/>
    <x v="2"/>
    <n v="1"/>
    <n v="1"/>
    <n v="1"/>
    <n v="2"/>
    <n v="2"/>
    <x v="2"/>
    <n v="2"/>
    <n v="1"/>
    <x v="1"/>
    <n v="3"/>
    <n v="2"/>
    <n v="1"/>
    <n v="2"/>
    <n v="1"/>
    <x v="3"/>
    <n v="1"/>
    <n v="1"/>
    <n v="3"/>
    <n v="4"/>
    <n v="3"/>
    <n v="3"/>
    <n v="3"/>
    <n v="3"/>
    <n v="1"/>
    <n v="1"/>
    <n v="4"/>
    <n v="4"/>
    <x v="2"/>
    <n v="3"/>
    <n v="4"/>
    <n v="4"/>
    <n v="3"/>
    <n v="3"/>
    <n v="3"/>
    <n v="4"/>
    <n v="2"/>
    <n v="3"/>
    <n v="2"/>
    <n v="4"/>
    <n v="3"/>
    <n v="1"/>
    <n v="4"/>
    <n v="2"/>
    <n v="2"/>
  </r>
  <r>
    <s v="Green Bay Packers"/>
    <n v="2004"/>
    <n v="10"/>
    <n v="6"/>
    <x v="0"/>
    <n v="0.3"/>
    <n v="4.3"/>
    <n v="-4"/>
    <x v="3"/>
    <n v="4"/>
    <n v="4"/>
    <n v="4"/>
    <n v="4"/>
    <n v="4"/>
    <x v="0"/>
    <n v="4"/>
    <n v="4"/>
    <x v="3"/>
    <n v="1"/>
    <n v="1"/>
    <n v="3"/>
    <n v="3"/>
    <n v="1"/>
    <x v="1"/>
    <n v="3"/>
    <n v="1"/>
    <n v="2"/>
    <n v="2"/>
    <n v="3"/>
    <n v="3"/>
    <n v="2"/>
    <n v="2"/>
    <n v="2"/>
    <n v="2"/>
    <n v="1"/>
    <n v="2"/>
    <x v="2"/>
    <n v="4"/>
    <n v="1"/>
    <n v="3"/>
    <n v="2"/>
    <n v="2"/>
    <n v="4"/>
    <n v="4"/>
    <n v="3"/>
    <n v="3"/>
    <n v="4"/>
    <n v="1"/>
    <n v="3"/>
    <n v="2"/>
    <n v="2"/>
    <n v="1"/>
    <n v="1"/>
  </r>
  <r>
    <s v="Houston Texans"/>
    <n v="2004"/>
    <n v="7"/>
    <n v="9"/>
    <x v="1"/>
    <n v="-0.6"/>
    <n v="-2.4"/>
    <n v="1.8"/>
    <x v="2"/>
    <n v="2"/>
    <n v="2"/>
    <n v="3"/>
    <n v="2"/>
    <n v="1"/>
    <x v="3"/>
    <n v="1"/>
    <n v="3"/>
    <x v="0"/>
    <n v="4"/>
    <n v="4"/>
    <n v="3"/>
    <n v="3"/>
    <n v="3"/>
    <x v="1"/>
    <n v="2"/>
    <n v="2"/>
    <n v="3"/>
    <n v="3"/>
    <n v="3"/>
    <n v="2"/>
    <n v="1"/>
    <n v="1"/>
    <n v="3"/>
    <n v="2"/>
    <n v="2"/>
    <n v="2"/>
    <x v="0"/>
    <n v="3"/>
    <n v="1"/>
    <n v="3"/>
    <n v="4"/>
    <n v="3"/>
    <n v="3"/>
    <n v="4"/>
    <n v="4"/>
    <n v="1"/>
    <n v="1"/>
    <n v="2"/>
    <n v="3"/>
    <n v="1"/>
    <n v="2"/>
    <n v="4"/>
    <n v="1"/>
  </r>
  <r>
    <s v="Indianapolis Colts"/>
    <n v="2004"/>
    <n v="12"/>
    <n v="4"/>
    <x v="0"/>
    <n v="11.4"/>
    <n v="11.7"/>
    <n v="-0.3"/>
    <x v="3"/>
    <n v="4"/>
    <n v="1"/>
    <n v="4"/>
    <n v="4"/>
    <n v="3"/>
    <x v="0"/>
    <n v="4"/>
    <n v="4"/>
    <x v="3"/>
    <n v="1"/>
    <n v="1"/>
    <n v="2"/>
    <n v="3"/>
    <n v="2"/>
    <x v="3"/>
    <n v="1"/>
    <n v="1"/>
    <n v="1"/>
    <n v="1"/>
    <n v="3"/>
    <n v="3"/>
    <n v="2"/>
    <n v="2"/>
    <n v="1"/>
    <n v="1"/>
    <n v="1"/>
    <n v="2"/>
    <x v="2"/>
    <n v="4"/>
    <n v="4"/>
    <n v="4"/>
    <n v="4"/>
    <n v="4"/>
    <n v="4"/>
    <n v="4"/>
    <n v="4"/>
    <n v="4"/>
    <n v="4"/>
    <n v="2"/>
    <n v="3"/>
    <n v="2"/>
    <n v="3"/>
    <n v="3"/>
    <n v="4"/>
  </r>
  <r>
    <s v="Jacksonville Jaguars"/>
    <n v="2004"/>
    <n v="9"/>
    <n v="7"/>
    <x v="1"/>
    <n v="0.8"/>
    <n v="-5.7"/>
    <n v="6.4"/>
    <x v="1"/>
    <n v="2"/>
    <n v="2"/>
    <n v="2"/>
    <n v="2"/>
    <n v="2"/>
    <x v="3"/>
    <n v="2"/>
    <n v="2"/>
    <x v="1"/>
    <n v="2"/>
    <n v="1"/>
    <n v="3"/>
    <n v="3"/>
    <n v="1"/>
    <x v="3"/>
    <n v="1"/>
    <n v="2"/>
    <n v="3"/>
    <n v="4"/>
    <n v="1"/>
    <n v="1"/>
    <n v="4"/>
    <n v="3"/>
    <n v="2"/>
    <n v="1"/>
    <n v="3"/>
    <n v="4"/>
    <x v="1"/>
    <n v="2"/>
    <n v="1"/>
    <n v="2"/>
    <n v="2"/>
    <n v="2"/>
    <n v="2"/>
    <n v="1"/>
    <n v="3"/>
    <n v="3"/>
    <n v="2"/>
    <n v="2"/>
    <n v="2"/>
    <n v="1"/>
    <n v="1"/>
    <n v="2"/>
    <n v="3"/>
  </r>
  <r>
    <s v="Kansas City Chiefs"/>
    <n v="2004"/>
    <n v="7"/>
    <n v="9"/>
    <x v="1"/>
    <n v="5.3"/>
    <n v="10"/>
    <n v="-4.7"/>
    <x v="3"/>
    <n v="4"/>
    <n v="4"/>
    <n v="4"/>
    <n v="4"/>
    <n v="4"/>
    <x v="0"/>
    <n v="4"/>
    <n v="4"/>
    <x v="3"/>
    <n v="2"/>
    <n v="3"/>
    <n v="4"/>
    <n v="4"/>
    <n v="4"/>
    <x v="2"/>
    <n v="3"/>
    <n v="1"/>
    <n v="1"/>
    <n v="1"/>
    <n v="4"/>
    <n v="4"/>
    <n v="1"/>
    <n v="1"/>
    <n v="2"/>
    <n v="1"/>
    <n v="1"/>
    <n v="1"/>
    <x v="3"/>
    <n v="4"/>
    <n v="1"/>
    <n v="4"/>
    <n v="2"/>
    <n v="3"/>
    <n v="4"/>
    <n v="4"/>
    <n v="4"/>
    <n v="4"/>
    <n v="3"/>
    <n v="1"/>
    <n v="2"/>
    <n v="4"/>
    <n v="2"/>
    <n v="1"/>
    <n v="1"/>
  </r>
  <r>
    <s v="Miami Dolphins"/>
    <n v="2004"/>
    <n v="4"/>
    <n v="12"/>
    <x v="1"/>
    <n v="-2.2000000000000002"/>
    <n v="-2.7"/>
    <n v="0.5"/>
    <x v="1"/>
    <n v="1"/>
    <n v="3"/>
    <n v="1"/>
    <n v="2"/>
    <n v="4"/>
    <x v="3"/>
    <n v="2"/>
    <n v="2"/>
    <x v="2"/>
    <n v="4"/>
    <n v="4"/>
    <n v="1"/>
    <n v="1"/>
    <n v="2"/>
    <x v="0"/>
    <n v="4"/>
    <n v="3"/>
    <n v="4"/>
    <n v="4"/>
    <n v="3"/>
    <n v="4"/>
    <n v="1"/>
    <n v="1"/>
    <n v="1"/>
    <n v="2"/>
    <n v="4"/>
    <n v="4"/>
    <x v="2"/>
    <n v="2"/>
    <n v="3"/>
    <n v="2"/>
    <n v="1"/>
    <n v="1"/>
    <n v="1"/>
    <n v="2"/>
    <n v="1"/>
    <n v="3"/>
    <n v="2"/>
    <n v="4"/>
    <n v="4"/>
    <n v="2"/>
    <n v="3"/>
    <n v="2"/>
    <n v="2"/>
  </r>
  <r>
    <s v="Minnesota Vikings"/>
    <n v="2004"/>
    <n v="8"/>
    <n v="8"/>
    <x v="0"/>
    <n v="-1.7"/>
    <n v="3"/>
    <n v="-4.7"/>
    <x v="3"/>
    <n v="4"/>
    <n v="2"/>
    <n v="4"/>
    <n v="4"/>
    <n v="3"/>
    <x v="0"/>
    <n v="4"/>
    <n v="4"/>
    <x v="3"/>
    <n v="4"/>
    <n v="3"/>
    <n v="1"/>
    <n v="3"/>
    <n v="1"/>
    <x v="1"/>
    <n v="1"/>
    <n v="1"/>
    <n v="2"/>
    <n v="2"/>
    <n v="3"/>
    <n v="2"/>
    <n v="2"/>
    <n v="2"/>
    <n v="1"/>
    <n v="1"/>
    <n v="1"/>
    <n v="1"/>
    <x v="3"/>
    <n v="4"/>
    <n v="3"/>
    <n v="4"/>
    <n v="4"/>
    <n v="3"/>
    <n v="4"/>
    <n v="4"/>
    <n v="4"/>
    <n v="3"/>
    <n v="3"/>
    <n v="2"/>
    <n v="3"/>
    <n v="3"/>
    <n v="3"/>
    <n v="1"/>
    <n v="2"/>
  </r>
  <r>
    <s v="New England Patriots"/>
    <n v="2004"/>
    <n v="14"/>
    <n v="2"/>
    <x v="0"/>
    <n v="12.8"/>
    <n v="6.3"/>
    <n v="6.5"/>
    <x v="3"/>
    <n v="4"/>
    <n v="4"/>
    <n v="4"/>
    <n v="2"/>
    <n v="2"/>
    <x v="1"/>
    <n v="4"/>
    <n v="4"/>
    <x v="3"/>
    <n v="1"/>
    <n v="1"/>
    <n v="4"/>
    <n v="4"/>
    <n v="3"/>
    <x v="2"/>
    <n v="2"/>
    <n v="3"/>
    <n v="3"/>
    <n v="1"/>
    <n v="1"/>
    <n v="2"/>
    <n v="3"/>
    <n v="4"/>
    <n v="3"/>
    <n v="4"/>
    <n v="1"/>
    <n v="1"/>
    <x v="1"/>
    <n v="2"/>
    <n v="2"/>
    <n v="2"/>
    <n v="3"/>
    <n v="3"/>
    <n v="3"/>
    <n v="1"/>
    <n v="3"/>
    <n v="4"/>
    <n v="4"/>
    <n v="1"/>
    <n v="1"/>
    <n v="1"/>
    <n v="1"/>
    <n v="4"/>
    <n v="4"/>
  </r>
  <r>
    <s v="New Orleans Saints"/>
    <n v="2004"/>
    <n v="8"/>
    <n v="8"/>
    <x v="1"/>
    <n v="-5.6"/>
    <n v="-1.2"/>
    <n v="-4.3"/>
    <x v="0"/>
    <n v="2"/>
    <n v="2"/>
    <n v="2"/>
    <n v="2"/>
    <n v="3"/>
    <x v="1"/>
    <n v="2"/>
    <n v="3"/>
    <x v="1"/>
    <n v="3"/>
    <n v="3"/>
    <n v="1"/>
    <n v="2"/>
    <n v="3"/>
    <x v="0"/>
    <n v="2"/>
    <n v="1"/>
    <n v="3"/>
    <n v="3"/>
    <n v="4"/>
    <n v="4"/>
    <n v="2"/>
    <n v="2"/>
    <n v="1"/>
    <n v="2"/>
    <n v="4"/>
    <n v="4"/>
    <x v="3"/>
    <n v="4"/>
    <n v="4"/>
    <n v="4"/>
    <n v="3"/>
    <n v="3"/>
    <n v="4"/>
    <n v="3"/>
    <n v="4"/>
    <n v="3"/>
    <n v="2"/>
    <n v="4"/>
    <n v="4"/>
    <n v="3"/>
    <n v="4"/>
    <n v="1"/>
    <n v="4"/>
  </r>
  <r>
    <s v="New York Giants"/>
    <n v="2004"/>
    <n v="6"/>
    <n v="10"/>
    <x v="1"/>
    <n v="-3.9"/>
    <n v="-2.2999999999999998"/>
    <n v="-1.6"/>
    <x v="2"/>
    <n v="1"/>
    <n v="1"/>
    <n v="2"/>
    <n v="1"/>
    <n v="1"/>
    <x v="2"/>
    <n v="1"/>
    <n v="1"/>
    <x v="1"/>
    <n v="4"/>
    <n v="3"/>
    <n v="2"/>
    <n v="3"/>
    <n v="4"/>
    <x v="1"/>
    <n v="1"/>
    <n v="2"/>
    <n v="3"/>
    <n v="2"/>
    <n v="3"/>
    <n v="4"/>
    <n v="2"/>
    <n v="2"/>
    <n v="2"/>
    <n v="2"/>
    <n v="2"/>
    <n v="2"/>
    <x v="2"/>
    <n v="2"/>
    <n v="3"/>
    <n v="3"/>
    <n v="1"/>
    <n v="1"/>
    <n v="1"/>
    <n v="4"/>
    <n v="2"/>
    <n v="3"/>
    <n v="3"/>
    <n v="4"/>
    <n v="4"/>
    <n v="2"/>
    <n v="4"/>
    <n v="2"/>
    <n v="3"/>
  </r>
  <r>
    <s v="New York Jets"/>
    <n v="2004"/>
    <n v="10"/>
    <n v="6"/>
    <x v="0"/>
    <n v="6.6"/>
    <n v="0.5"/>
    <n v="6"/>
    <x v="2"/>
    <n v="3"/>
    <n v="2"/>
    <n v="3"/>
    <n v="1"/>
    <n v="1"/>
    <x v="3"/>
    <n v="2"/>
    <n v="2"/>
    <x v="3"/>
    <n v="2"/>
    <n v="2"/>
    <n v="4"/>
    <n v="4"/>
    <n v="3"/>
    <x v="2"/>
    <n v="1"/>
    <n v="1"/>
    <n v="3"/>
    <n v="3"/>
    <n v="1"/>
    <n v="1"/>
    <n v="2"/>
    <n v="1"/>
    <n v="3"/>
    <n v="4"/>
    <n v="3"/>
    <n v="2"/>
    <x v="1"/>
    <n v="1"/>
    <n v="1"/>
    <n v="2"/>
    <n v="1"/>
    <n v="2"/>
    <n v="2"/>
    <n v="2"/>
    <n v="2"/>
    <n v="3"/>
    <n v="2"/>
    <n v="2"/>
    <n v="1"/>
    <n v="1"/>
    <n v="2"/>
    <n v="3"/>
    <n v="3"/>
  </r>
  <r>
    <s v="Oakland Raiders"/>
    <n v="2004"/>
    <n v="5"/>
    <n v="11"/>
    <x v="1"/>
    <n v="-4.3"/>
    <n v="-0.6"/>
    <n v="-3.7"/>
    <x v="2"/>
    <n v="2"/>
    <n v="1"/>
    <n v="2"/>
    <n v="3"/>
    <n v="4"/>
    <x v="0"/>
    <n v="3"/>
    <n v="3"/>
    <x v="1"/>
    <n v="2"/>
    <n v="1"/>
    <n v="1"/>
    <n v="1"/>
    <n v="2"/>
    <x v="0"/>
    <n v="4"/>
    <n v="3"/>
    <n v="1"/>
    <n v="1"/>
    <n v="4"/>
    <n v="4"/>
    <n v="2"/>
    <n v="2"/>
    <n v="3"/>
    <n v="3"/>
    <n v="2"/>
    <n v="3"/>
    <x v="3"/>
    <n v="4"/>
    <n v="4"/>
    <n v="4"/>
    <n v="3"/>
    <n v="2"/>
    <n v="4"/>
    <n v="4"/>
    <n v="4"/>
    <n v="1"/>
    <n v="1"/>
    <n v="4"/>
    <n v="3"/>
    <n v="4"/>
    <n v="4"/>
    <n v="1"/>
    <n v="1"/>
  </r>
  <r>
    <s v="Philadelphia Eagles"/>
    <n v="2004"/>
    <n v="13"/>
    <n v="3"/>
    <x v="0"/>
    <n v="5.6"/>
    <n v="2"/>
    <n v="3.5"/>
    <x v="0"/>
    <n v="3"/>
    <n v="1"/>
    <n v="3"/>
    <n v="3"/>
    <n v="3"/>
    <x v="0"/>
    <n v="4"/>
    <n v="3"/>
    <x v="3"/>
    <n v="3"/>
    <n v="3"/>
    <n v="1"/>
    <n v="2"/>
    <n v="2"/>
    <x v="3"/>
    <n v="1"/>
    <n v="2"/>
    <n v="3"/>
    <n v="3"/>
    <n v="1"/>
    <n v="1"/>
    <n v="1"/>
    <n v="1"/>
    <n v="4"/>
    <n v="4"/>
    <n v="2"/>
    <n v="2"/>
    <x v="1"/>
    <n v="2"/>
    <n v="4"/>
    <n v="3"/>
    <n v="4"/>
    <n v="4"/>
    <n v="2"/>
    <n v="1"/>
    <n v="2"/>
    <n v="4"/>
    <n v="4"/>
    <n v="2"/>
    <n v="3"/>
    <n v="2"/>
    <n v="3"/>
    <n v="3"/>
    <n v="2"/>
  </r>
  <r>
    <s v="Pittsburgh Steelers"/>
    <n v="2004"/>
    <n v="15"/>
    <n v="1"/>
    <x v="0"/>
    <n v="9"/>
    <n v="3.4"/>
    <n v="5.6"/>
    <x v="0"/>
    <n v="2"/>
    <n v="3"/>
    <n v="3"/>
    <n v="1"/>
    <n v="1"/>
    <x v="2"/>
    <n v="2"/>
    <n v="1"/>
    <x v="3"/>
    <n v="3"/>
    <n v="3"/>
    <n v="4"/>
    <n v="4"/>
    <n v="3"/>
    <x v="2"/>
    <n v="1"/>
    <n v="1"/>
    <n v="4"/>
    <n v="3"/>
    <n v="2"/>
    <n v="2"/>
    <n v="4"/>
    <n v="4"/>
    <n v="2"/>
    <n v="2"/>
    <n v="1"/>
    <n v="2"/>
    <x v="1"/>
    <n v="1"/>
    <n v="1"/>
    <n v="1"/>
    <n v="1"/>
    <n v="1"/>
    <n v="1"/>
    <n v="1"/>
    <n v="1"/>
    <n v="4"/>
    <n v="3"/>
    <n v="1"/>
    <n v="1"/>
    <n v="1"/>
    <n v="1"/>
    <n v="3"/>
    <n v="3"/>
  </r>
  <r>
    <s v="San Diego Chargers"/>
    <n v="2004"/>
    <n v="12"/>
    <n v="4"/>
    <x v="0"/>
    <n v="9.1"/>
    <n v="6.1"/>
    <n v="3"/>
    <x v="3"/>
    <n v="3"/>
    <n v="2"/>
    <n v="4"/>
    <n v="2"/>
    <n v="1"/>
    <x v="1"/>
    <n v="4"/>
    <n v="2"/>
    <x v="3"/>
    <n v="1"/>
    <n v="1"/>
    <n v="4"/>
    <n v="4"/>
    <n v="4"/>
    <x v="2"/>
    <n v="1"/>
    <n v="1"/>
    <n v="1"/>
    <n v="2"/>
    <n v="2"/>
    <n v="2"/>
    <n v="1"/>
    <n v="1"/>
    <n v="2"/>
    <n v="2"/>
    <n v="2"/>
    <n v="2"/>
    <x v="0"/>
    <n v="3"/>
    <n v="2"/>
    <n v="4"/>
    <n v="4"/>
    <n v="4"/>
    <n v="4"/>
    <n v="2"/>
    <n v="4"/>
    <n v="1"/>
    <n v="1"/>
    <n v="1"/>
    <n v="1"/>
    <n v="3"/>
    <n v="1"/>
    <n v="4"/>
    <n v="2"/>
  </r>
  <r>
    <s v="San Francisco 49ers"/>
    <n v="2004"/>
    <n v="2"/>
    <n v="14"/>
    <x v="1"/>
    <n v="-13.6"/>
    <n v="-5.0999999999999996"/>
    <n v="-8.6"/>
    <x v="1"/>
    <n v="1"/>
    <n v="3"/>
    <n v="2"/>
    <n v="3"/>
    <n v="4"/>
    <x v="3"/>
    <n v="1"/>
    <n v="2"/>
    <x v="2"/>
    <n v="4"/>
    <n v="4"/>
    <n v="2"/>
    <n v="1"/>
    <n v="2"/>
    <x v="0"/>
    <n v="4"/>
    <n v="4"/>
    <n v="2"/>
    <n v="2"/>
    <n v="4"/>
    <n v="4"/>
    <n v="1"/>
    <n v="1"/>
    <n v="2"/>
    <n v="2"/>
    <n v="4"/>
    <n v="4"/>
    <x v="3"/>
    <n v="3"/>
    <n v="3"/>
    <n v="4"/>
    <n v="2"/>
    <n v="1"/>
    <n v="3"/>
    <n v="4"/>
    <n v="3"/>
    <n v="1"/>
    <n v="2"/>
    <n v="4"/>
    <n v="3"/>
    <n v="4"/>
    <n v="4"/>
    <n v="1"/>
    <n v="3"/>
  </r>
  <r>
    <s v="Seattle Seahawks"/>
    <n v="2004"/>
    <n v="9"/>
    <n v="7"/>
    <x v="0"/>
    <n v="-2.9"/>
    <n v="0.4"/>
    <n v="-3.3"/>
    <x v="0"/>
    <n v="4"/>
    <n v="4"/>
    <n v="3"/>
    <n v="2"/>
    <n v="3"/>
    <x v="1"/>
    <n v="3"/>
    <n v="3"/>
    <x v="1"/>
    <n v="2"/>
    <n v="2"/>
    <n v="3"/>
    <n v="4"/>
    <n v="3"/>
    <x v="1"/>
    <n v="3"/>
    <n v="1"/>
    <n v="1"/>
    <n v="1"/>
    <n v="4"/>
    <n v="3"/>
    <n v="2"/>
    <n v="2"/>
    <n v="1"/>
    <n v="2"/>
    <n v="3"/>
    <n v="2"/>
    <x v="2"/>
    <n v="4"/>
    <n v="4"/>
    <n v="3"/>
    <n v="4"/>
    <n v="4"/>
    <n v="3"/>
    <n v="3"/>
    <n v="4"/>
    <n v="3"/>
    <n v="2"/>
    <n v="3"/>
    <n v="3"/>
    <n v="4"/>
    <n v="3"/>
    <n v="4"/>
    <n v="3"/>
  </r>
  <r>
    <s v="St. Louis Rams"/>
    <n v="2004"/>
    <n v="8"/>
    <n v="8"/>
    <x v="0"/>
    <n v="-6"/>
    <n v="-2.2000000000000002"/>
    <n v="-3.8"/>
    <x v="2"/>
    <n v="4"/>
    <n v="3"/>
    <n v="3"/>
    <n v="4"/>
    <n v="4"/>
    <x v="0"/>
    <n v="3"/>
    <n v="4"/>
    <x v="0"/>
    <n v="4"/>
    <n v="4"/>
    <n v="1"/>
    <n v="2"/>
    <n v="2"/>
    <x v="3"/>
    <n v="4"/>
    <n v="4"/>
    <n v="1"/>
    <n v="1"/>
    <n v="4"/>
    <n v="3"/>
    <n v="1"/>
    <n v="1"/>
    <n v="2"/>
    <n v="2"/>
    <n v="1"/>
    <n v="2"/>
    <x v="3"/>
    <n v="3"/>
    <n v="3"/>
    <n v="3"/>
    <n v="1"/>
    <n v="1"/>
    <n v="2"/>
    <n v="3"/>
    <n v="2"/>
    <n v="2"/>
    <n v="3"/>
    <n v="4"/>
    <n v="4"/>
    <n v="2"/>
    <n v="4"/>
    <n v="1"/>
    <n v="1"/>
  </r>
  <r>
    <s v="Tampa Bay Buccaneers"/>
    <n v="2004"/>
    <n v="5"/>
    <n v="11"/>
    <x v="1"/>
    <n v="-2.7"/>
    <n v="-4"/>
    <n v="1.3"/>
    <x v="2"/>
    <n v="2"/>
    <n v="1"/>
    <n v="1"/>
    <n v="3"/>
    <n v="2"/>
    <x v="1"/>
    <n v="3"/>
    <n v="3"/>
    <x v="0"/>
    <n v="3"/>
    <n v="4"/>
    <n v="1"/>
    <n v="1"/>
    <n v="1"/>
    <x v="0"/>
    <n v="3"/>
    <n v="4"/>
    <n v="2"/>
    <n v="1"/>
    <n v="2"/>
    <n v="2"/>
    <n v="2"/>
    <n v="1"/>
    <n v="1"/>
    <n v="1"/>
    <n v="3"/>
    <n v="3"/>
    <x v="0"/>
    <n v="1"/>
    <n v="1"/>
    <n v="1"/>
    <n v="1"/>
    <n v="1"/>
    <n v="1"/>
    <n v="2"/>
    <n v="1"/>
    <n v="4"/>
    <n v="4"/>
    <n v="4"/>
    <n v="3"/>
    <n v="1"/>
    <n v="3"/>
    <n v="2"/>
    <n v="2"/>
  </r>
  <r>
    <s v="Tennessee Titans"/>
    <n v="2004"/>
    <n v="5"/>
    <n v="11"/>
    <x v="1"/>
    <n v="-4.4000000000000004"/>
    <n v="0.3"/>
    <n v="-4.5999999999999996"/>
    <x v="0"/>
    <n v="3"/>
    <n v="4"/>
    <n v="3"/>
    <n v="4"/>
    <n v="4"/>
    <x v="1"/>
    <n v="4"/>
    <n v="4"/>
    <x v="0"/>
    <n v="3"/>
    <n v="4"/>
    <n v="2"/>
    <n v="3"/>
    <n v="2"/>
    <x v="3"/>
    <n v="3"/>
    <n v="2"/>
    <n v="3"/>
    <n v="1"/>
    <n v="4"/>
    <n v="3"/>
    <n v="1"/>
    <n v="1"/>
    <n v="4"/>
    <n v="3"/>
    <n v="3"/>
    <n v="3"/>
    <x v="3"/>
    <n v="4"/>
    <n v="2"/>
    <n v="4"/>
    <n v="3"/>
    <n v="3"/>
    <n v="4"/>
    <n v="4"/>
    <n v="4"/>
    <n v="2"/>
    <n v="2"/>
    <n v="2"/>
    <n v="3"/>
    <n v="4"/>
    <n v="3"/>
    <n v="3"/>
    <n v="3"/>
  </r>
  <r>
    <s v="Washington Redskins"/>
    <n v="2004"/>
    <n v="6"/>
    <n v="10"/>
    <x v="1"/>
    <n v="-3.4"/>
    <n v="-7.4"/>
    <n v="4"/>
    <x v="1"/>
    <n v="1"/>
    <n v="3"/>
    <n v="1"/>
    <n v="2"/>
    <n v="2"/>
    <x v="2"/>
    <n v="2"/>
    <n v="2"/>
    <x v="2"/>
    <n v="3"/>
    <n v="3"/>
    <n v="3"/>
    <n v="2"/>
    <n v="1"/>
    <x v="3"/>
    <n v="3"/>
    <n v="1"/>
    <n v="3"/>
    <n v="3"/>
    <n v="1"/>
    <n v="1"/>
    <n v="2"/>
    <n v="2"/>
    <n v="2"/>
    <n v="1"/>
    <n v="4"/>
    <n v="4"/>
    <x v="1"/>
    <n v="1"/>
    <n v="1"/>
    <n v="1"/>
    <n v="2"/>
    <n v="2"/>
    <n v="1"/>
    <n v="1"/>
    <n v="1"/>
    <n v="3"/>
    <n v="3"/>
    <n v="2"/>
    <n v="1"/>
    <n v="1"/>
    <n v="1"/>
    <n v="3"/>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0" cacheId="31" applyNumberFormats="0" applyBorderFormats="0" applyFontFormats="0" applyPatternFormats="0" applyAlignmentFormats="0" applyWidthHeightFormats="1" dataCaption="Values" updatedVersion="3" minRefreshableVersion="3" showCalcMbrs="0" useAutoFormatting="1" itemPrintTitles="1" createdVersion="3" indent="0" compact="0" compactData="0" multipleFieldFilters="0" chartFormat="2">
  <location ref="A3:D9" firstHeaderRow="1" firstDataRow="2" firstDataCol="1"/>
  <pivotFields count="53">
    <pivotField compact="0" outline="0" showAll="0"/>
    <pivotField compact="0" outline="0" showAll="0"/>
    <pivotField compact="0" outline="0" showAll="0"/>
    <pivotField compact="0" outline="0" showAll="0"/>
    <pivotField axis="axisCol" dataField="1" compact="0" outline="0" showAll="0">
      <items count="3">
        <item x="1"/>
        <item x="0"/>
        <item t="default"/>
      </items>
    </pivotField>
    <pivotField compact="0" outline="0" showAll="0"/>
    <pivotField compact="0" outline="0" showAll="0"/>
    <pivotField compact="0" outline="0" showAll="0"/>
    <pivotField compact="0" outline="0" showAll="0">
      <items count="5">
        <item x="1"/>
        <item x="2"/>
        <item x="0"/>
        <item x="3"/>
        <item t="default"/>
      </items>
    </pivotField>
    <pivotField compact="0" outline="0" showAll="0"/>
    <pivotField compact="0" outline="0" showAll="0"/>
    <pivotField compact="0" outline="0" showAll="0"/>
    <pivotField compact="0" outline="0" showAll="0"/>
    <pivotField compact="0" outline="0" showAll="0"/>
    <pivotField axis="axisRow" compact="0" outline="0" showAll="0">
      <items count="5">
        <item x="2"/>
        <item x="3"/>
        <item x="1"/>
        <item x="0"/>
        <item t="default"/>
      </items>
    </pivotField>
    <pivotField compact="0" outline="0" showAll="0"/>
    <pivotField compact="0" outline="0" showAll="0"/>
    <pivotField compact="0" outline="0" showAll="0">
      <items count="5">
        <item x="2"/>
        <item x="1"/>
        <item x="0"/>
        <item x="3"/>
        <item t="default"/>
      </items>
    </pivotField>
    <pivotField compact="0" outline="0" showAll="0"/>
    <pivotField compact="0" outline="0" showAll="0"/>
    <pivotField compact="0" outline="0" showAll="0"/>
    <pivotField compact="0" outline="0" showAll="0"/>
    <pivotField compact="0" outline="0" showAll="0"/>
    <pivotField compact="0" outline="0" showAll="0">
      <items count="5">
        <item x="0"/>
        <item x="3"/>
        <item x="1"/>
        <item x="2"/>
        <item t="default"/>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s>
  <rowFields count="1">
    <field x="14"/>
  </rowFields>
  <rowItems count="5">
    <i>
      <x/>
    </i>
    <i>
      <x v="1"/>
    </i>
    <i>
      <x v="2"/>
    </i>
    <i>
      <x v="3"/>
    </i>
    <i t="grand">
      <x/>
    </i>
  </rowItems>
  <colFields count="1">
    <field x="4"/>
  </colFields>
  <colItems count="3">
    <i>
      <x/>
    </i>
    <i>
      <x v="1"/>
    </i>
    <i t="grand">
      <x/>
    </i>
  </colItems>
  <dataFields count="1">
    <dataField name="Count of Playoff Team" fld="4" subtotal="count" showDataAs="percentOfRow" baseField="0" baseItem="0" numFmtId="10"/>
  </dataFields>
  <chartFormats count="4">
    <chartFormat chart="0" format="0" series="1">
      <pivotArea type="data" outline="0" fieldPosition="0">
        <references count="2">
          <reference field="4294967294" count="1" selected="0">
            <x v="0"/>
          </reference>
          <reference field="4" count="1" selected="0">
            <x v="0"/>
          </reference>
        </references>
      </pivotArea>
    </chartFormat>
    <chartFormat chart="0" format="1" series="1">
      <pivotArea type="data" outline="0" fieldPosition="0">
        <references count="2">
          <reference field="4294967294" count="1" selected="0">
            <x v="0"/>
          </reference>
          <reference field="4" count="1" selected="0">
            <x v="1"/>
          </reference>
        </references>
      </pivotArea>
    </chartFormat>
    <chartFormat chart="1" format="0" series="1">
      <pivotArea type="data" outline="0" fieldPosition="0">
        <references count="2">
          <reference field="4294967294" count="1" selected="0">
            <x v="0"/>
          </reference>
          <reference field="4" count="1" selected="0">
            <x v="0"/>
          </reference>
        </references>
      </pivotArea>
    </chartFormat>
    <chartFormat chart="1" format="1" series="1">
      <pivotArea type="data" outline="0" fieldPosition="0">
        <references count="2">
          <reference field="4294967294" count="1" selected="0">
            <x v="0"/>
          </reference>
          <reference field="4" count="1" selected="0">
            <x v="1"/>
          </reference>
        </references>
      </pivotArea>
    </chartFormat>
  </chartFormats>
  <pivotTableStyleInfo name="PivotStyleLight16" showRowHeaders="1" showColHeaders="1" showRowStripes="0" showColStripes="0" showLastColumn="1"/>
</pivotTableDefinition>
</file>

<file path=xl/queryTables/queryTable1.xml><?xml version="1.0" encoding="utf-8"?>
<queryTable xmlns="http://schemas.openxmlformats.org/spreadsheetml/2006/main" name="2009"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2009"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queryTable" Target="../queryTables/queryTable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vmlDrawing" Target="../drawings/vmlDrawing2.vml"/><Relationship Id="rId1" Type="http://schemas.openxmlformats.org/officeDocument/2006/relationships/drawing" Target="../drawings/drawing3.xm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A195"/>
  <sheetViews>
    <sheetView tabSelected="1" zoomScaleNormal="100" workbookViewId="0">
      <selection activeCell="A2" sqref="A2"/>
    </sheetView>
  </sheetViews>
  <sheetFormatPr defaultRowHeight="15" x14ac:dyDescent="0.25"/>
  <cols>
    <col min="1" max="1" width="21.140625" style="2" bestFit="1" customWidth="1"/>
    <col min="2" max="2" width="7.42578125" style="38" customWidth="1"/>
    <col min="3" max="3" width="10" style="2" customWidth="1"/>
    <col min="4" max="4" width="7.85546875" style="2" customWidth="1"/>
    <col min="5" max="5" width="12.5703125" style="68" bestFit="1" customWidth="1"/>
    <col min="6" max="8" width="7.85546875" style="2" customWidth="1"/>
    <col min="9" max="9" width="13.140625" style="2" bestFit="1" customWidth="1"/>
    <col min="10" max="10" width="8.28515625" style="2" customWidth="1"/>
    <col min="11" max="11" width="8" style="2" customWidth="1"/>
    <col min="12" max="12" width="10" style="2" bestFit="1" customWidth="1"/>
    <col min="13" max="13" width="12.28515625" style="2" customWidth="1"/>
    <col min="14" max="14" width="13.7109375" style="2" bestFit="1" customWidth="1"/>
    <col min="15" max="15" width="12.7109375" style="2" bestFit="1" customWidth="1"/>
    <col min="16" max="16" width="11.140625" style="2" bestFit="1" customWidth="1"/>
    <col min="17" max="17" width="17.28515625" style="2" bestFit="1" customWidth="1"/>
    <col min="18" max="18" width="9.5703125" style="2" bestFit="1" customWidth="1"/>
    <col min="19" max="19" width="12.7109375" style="2" bestFit="1" customWidth="1"/>
    <col min="20" max="20" width="17.28515625" style="2" bestFit="1" customWidth="1"/>
    <col min="21" max="21" width="16.85546875" style="2" bestFit="1" customWidth="1"/>
    <col min="22" max="22" width="13.28515625" style="2" bestFit="1" customWidth="1"/>
    <col min="23" max="23" width="11.5703125" style="2" bestFit="1" customWidth="1"/>
    <col min="24" max="24" width="17.7109375" style="2" bestFit="1" customWidth="1"/>
    <col min="25" max="25" width="20.28515625" style="2" bestFit="1" customWidth="1"/>
    <col min="26" max="26" width="12.5703125" style="2" customWidth="1"/>
    <col min="27" max="27" width="12.42578125" style="2" bestFit="1" customWidth="1"/>
    <col min="28" max="28" width="17.85546875" style="2" bestFit="1" customWidth="1"/>
    <col min="29" max="29" width="11.85546875" style="2" bestFit="1" customWidth="1"/>
    <col min="30" max="30" width="17.28515625" style="2" bestFit="1" customWidth="1"/>
    <col min="31" max="34" width="9.140625" style="2"/>
    <col min="35" max="35" width="7.5703125" style="2" customWidth="1"/>
    <col min="36" max="36" width="10.28515625" style="2" bestFit="1" customWidth="1"/>
    <col min="37" max="37" width="14.5703125" style="2" bestFit="1" customWidth="1"/>
    <col min="38" max="38" width="13.85546875" style="2" bestFit="1" customWidth="1"/>
    <col min="39" max="39" width="17.85546875" style="2" bestFit="1" customWidth="1"/>
    <col min="40" max="40" width="18.140625" style="2" bestFit="1" customWidth="1"/>
    <col min="41" max="41" width="20.42578125" style="2" bestFit="1" customWidth="1"/>
    <col min="42" max="42" width="29.85546875" style="2" bestFit="1" customWidth="1"/>
    <col min="43" max="43" width="20.85546875" style="2" bestFit="1" customWidth="1"/>
    <col min="44" max="44" width="19.28515625" style="2" bestFit="1" customWidth="1"/>
    <col min="45" max="45" width="25.28515625" style="2" bestFit="1" customWidth="1"/>
    <col min="46" max="46" width="12.5703125" style="2" bestFit="1" customWidth="1"/>
    <col min="47" max="47" width="17" style="2" bestFit="1" customWidth="1"/>
    <col min="48" max="48" width="29.42578125" style="2" bestFit="1" customWidth="1"/>
    <col min="49" max="49" width="21.42578125" style="2" bestFit="1" customWidth="1"/>
    <col min="50" max="50" width="19.7109375" style="2" bestFit="1" customWidth="1"/>
    <col min="51" max="51" width="25.85546875" style="2" bestFit="1" customWidth="1"/>
    <col min="52" max="53" width="18.7109375" style="2" customWidth="1"/>
    <col min="54" max="54" width="5.7109375" style="2" bestFit="1" customWidth="1"/>
    <col min="55" max="55" width="5" style="2" customWidth="1"/>
    <col min="56" max="56" width="7.5703125" style="2" bestFit="1" customWidth="1"/>
    <col min="57" max="57" width="6" style="2" customWidth="1"/>
    <col min="58" max="58" width="7" style="2" customWidth="1"/>
    <col min="59" max="16384" width="9.140625" style="2"/>
  </cols>
  <sheetData>
    <row r="1" spans="1:53" s="1" customFormat="1" x14ac:dyDescent="0.25">
      <c r="A1" s="1" t="s">
        <v>93</v>
      </c>
      <c r="B1" s="37"/>
      <c r="C1" s="1" t="s">
        <v>94</v>
      </c>
      <c r="E1" s="67"/>
      <c r="I1" s="1" t="s">
        <v>61</v>
      </c>
      <c r="M1" s="1" t="s">
        <v>62</v>
      </c>
      <c r="U1" s="1" t="s">
        <v>63</v>
      </c>
      <c r="Y1" s="1" t="s">
        <v>91</v>
      </c>
      <c r="AA1" s="1" t="s">
        <v>35</v>
      </c>
      <c r="AC1" s="1" t="s">
        <v>36</v>
      </c>
      <c r="AE1" s="1" t="s">
        <v>55</v>
      </c>
      <c r="AI1" s="1" t="s">
        <v>58</v>
      </c>
      <c r="AK1" s="1" t="s">
        <v>66</v>
      </c>
      <c r="AO1" s="1" t="s">
        <v>67</v>
      </c>
      <c r="AV1" s="1" t="s">
        <v>68</v>
      </c>
      <c r="AZ1" s="1" t="s">
        <v>90</v>
      </c>
    </row>
    <row r="2" spans="1:53" ht="15.75" thickBot="1" x14ac:dyDescent="0.3">
      <c r="A2" s="1"/>
      <c r="B2" s="37"/>
    </row>
    <row r="3" spans="1:53" s="1" customFormat="1" ht="15.75" thickBot="1" x14ac:dyDescent="0.3">
      <c r="A3" s="42" t="s">
        <v>60</v>
      </c>
      <c r="B3" s="79" t="s">
        <v>92</v>
      </c>
      <c r="C3" s="43" t="s">
        <v>83</v>
      </c>
      <c r="D3" s="44" t="s">
        <v>84</v>
      </c>
      <c r="E3" s="69" t="s">
        <v>95</v>
      </c>
      <c r="F3" s="44" t="s">
        <v>0</v>
      </c>
      <c r="G3" s="44" t="s">
        <v>1</v>
      </c>
      <c r="H3" s="45" t="s">
        <v>2</v>
      </c>
      <c r="I3" s="43" t="s">
        <v>65</v>
      </c>
      <c r="J3" s="44" t="s">
        <v>41</v>
      </c>
      <c r="K3" s="44" t="s">
        <v>42</v>
      </c>
      <c r="L3" s="45" t="s">
        <v>43</v>
      </c>
      <c r="M3" s="43" t="s">
        <v>44</v>
      </c>
      <c r="N3" s="44" t="s">
        <v>50</v>
      </c>
      <c r="O3" s="44" t="s">
        <v>47</v>
      </c>
      <c r="P3" s="44" t="s">
        <v>48</v>
      </c>
      <c r="Q3" s="44" t="s">
        <v>46</v>
      </c>
      <c r="R3" s="44" t="s">
        <v>45</v>
      </c>
      <c r="S3" s="44" t="s">
        <v>86</v>
      </c>
      <c r="T3" s="45" t="s">
        <v>87</v>
      </c>
      <c r="U3" s="43" t="s">
        <v>49</v>
      </c>
      <c r="V3" s="44" t="s">
        <v>51</v>
      </c>
      <c r="W3" s="44" t="s">
        <v>52</v>
      </c>
      <c r="X3" s="44" t="s">
        <v>53</v>
      </c>
      <c r="Y3" s="43" t="s">
        <v>85</v>
      </c>
      <c r="Z3" s="45" t="s">
        <v>54</v>
      </c>
      <c r="AA3" s="43" t="s">
        <v>35</v>
      </c>
      <c r="AB3" s="45" t="s">
        <v>56</v>
      </c>
      <c r="AC3" s="43" t="s">
        <v>36</v>
      </c>
      <c r="AD3" s="45" t="s">
        <v>57</v>
      </c>
      <c r="AE3" s="43" t="s">
        <v>37</v>
      </c>
      <c r="AF3" s="44" t="s">
        <v>38</v>
      </c>
      <c r="AG3" s="44" t="s">
        <v>39</v>
      </c>
      <c r="AH3" s="44" t="s">
        <v>40</v>
      </c>
      <c r="AI3" s="43" t="s">
        <v>58</v>
      </c>
      <c r="AJ3" s="45" t="s">
        <v>59</v>
      </c>
      <c r="AK3" s="43" t="s">
        <v>64</v>
      </c>
      <c r="AL3" s="46" t="s">
        <v>69</v>
      </c>
      <c r="AM3" s="46" t="s">
        <v>70</v>
      </c>
      <c r="AN3" s="47" t="s">
        <v>71</v>
      </c>
      <c r="AO3" s="48" t="s">
        <v>72</v>
      </c>
      <c r="AP3" s="46" t="s">
        <v>73</v>
      </c>
      <c r="AQ3" s="46" t="s">
        <v>74</v>
      </c>
      <c r="AR3" s="46" t="s">
        <v>75</v>
      </c>
      <c r="AS3" s="46" t="s">
        <v>77</v>
      </c>
      <c r="AT3" s="46" t="s">
        <v>88</v>
      </c>
      <c r="AU3" s="47" t="s">
        <v>89</v>
      </c>
      <c r="AV3" s="48" t="s">
        <v>78</v>
      </c>
      <c r="AW3" s="46" t="s">
        <v>79</v>
      </c>
      <c r="AX3" s="46" t="s">
        <v>80</v>
      </c>
      <c r="AY3" s="46" t="s">
        <v>81</v>
      </c>
      <c r="AZ3" s="48" t="s">
        <v>76</v>
      </c>
      <c r="BA3" s="47" t="s">
        <v>82</v>
      </c>
    </row>
    <row r="4" spans="1:53" x14ac:dyDescent="0.25">
      <c r="A4" s="11" t="s">
        <v>31</v>
      </c>
      <c r="B4" s="39">
        <v>2009</v>
      </c>
      <c r="C4" s="11">
        <v>10</v>
      </c>
      <c r="D4" s="9">
        <v>6</v>
      </c>
      <c r="E4" s="70" t="s">
        <v>97</v>
      </c>
      <c r="F4" s="9">
        <v>-0.3</v>
      </c>
      <c r="G4" s="9">
        <v>0.1</v>
      </c>
      <c r="H4" s="10">
        <v>-0.4</v>
      </c>
      <c r="I4" s="11">
        <v>375</v>
      </c>
      <c r="J4" s="9">
        <v>5510</v>
      </c>
      <c r="K4" s="9">
        <v>985</v>
      </c>
      <c r="L4" s="10">
        <v>317</v>
      </c>
      <c r="M4" s="11">
        <v>392</v>
      </c>
      <c r="N4" s="9">
        <v>594</v>
      </c>
      <c r="O4" s="9">
        <v>4016</v>
      </c>
      <c r="P4" s="9">
        <v>27</v>
      </c>
      <c r="Q4" s="9">
        <v>215</v>
      </c>
      <c r="R4" s="9">
        <v>89.1</v>
      </c>
      <c r="S4" s="9">
        <v>26</v>
      </c>
      <c r="T4" s="10">
        <v>184</v>
      </c>
      <c r="U4" s="11">
        <v>365</v>
      </c>
      <c r="V4" s="9">
        <v>1494</v>
      </c>
      <c r="W4" s="9">
        <v>16</v>
      </c>
      <c r="X4" s="9">
        <v>77</v>
      </c>
      <c r="Y4" s="11">
        <v>18</v>
      </c>
      <c r="Z4" s="10">
        <v>18</v>
      </c>
      <c r="AA4" s="11">
        <v>45</v>
      </c>
      <c r="AB4" s="10">
        <v>308</v>
      </c>
      <c r="AC4" s="11">
        <v>54</v>
      </c>
      <c r="AD4" s="10">
        <v>1284</v>
      </c>
      <c r="AE4" s="11">
        <v>11</v>
      </c>
      <c r="AF4" s="9">
        <v>11</v>
      </c>
      <c r="AG4" s="9">
        <v>8</v>
      </c>
      <c r="AH4" s="9">
        <v>7</v>
      </c>
      <c r="AI4" s="11">
        <v>86</v>
      </c>
      <c r="AJ4" s="10">
        <v>404</v>
      </c>
      <c r="AK4" s="11">
        <v>325</v>
      </c>
      <c r="AL4" s="9">
        <v>5543</v>
      </c>
      <c r="AM4" s="9">
        <v>1038</v>
      </c>
      <c r="AN4" s="10">
        <v>289</v>
      </c>
      <c r="AO4" s="11">
        <v>346</v>
      </c>
      <c r="AP4" s="9">
        <v>593</v>
      </c>
      <c r="AQ4" s="9">
        <v>3739</v>
      </c>
      <c r="AR4" s="9">
        <v>22</v>
      </c>
      <c r="AS4" s="9">
        <v>188</v>
      </c>
      <c r="AT4" s="9">
        <v>43</v>
      </c>
      <c r="AU4" s="10">
        <v>259</v>
      </c>
      <c r="AV4" s="11">
        <v>402</v>
      </c>
      <c r="AW4" s="9">
        <v>1804</v>
      </c>
      <c r="AX4" s="9">
        <v>13</v>
      </c>
      <c r="AY4" s="9">
        <v>81</v>
      </c>
      <c r="AZ4" s="11">
        <v>21</v>
      </c>
      <c r="BA4" s="10">
        <v>8</v>
      </c>
    </row>
    <row r="5" spans="1:53" x14ac:dyDescent="0.25">
      <c r="A5" s="4" t="s">
        <v>28</v>
      </c>
      <c r="B5" s="40">
        <v>2009</v>
      </c>
      <c r="C5" s="4">
        <v>9</v>
      </c>
      <c r="D5" s="3">
        <v>7</v>
      </c>
      <c r="E5" s="71" t="s">
        <v>96</v>
      </c>
      <c r="F5" s="3">
        <v>5</v>
      </c>
      <c r="G5" s="3">
        <v>2.7</v>
      </c>
      <c r="H5" s="5">
        <v>2.2999999999999998</v>
      </c>
      <c r="I5" s="4">
        <v>363</v>
      </c>
      <c r="J5" s="3">
        <v>5447</v>
      </c>
      <c r="K5" s="3">
        <v>1048</v>
      </c>
      <c r="L5" s="5">
        <v>330</v>
      </c>
      <c r="M5" s="4">
        <v>332</v>
      </c>
      <c r="N5" s="3">
        <v>570</v>
      </c>
      <c r="O5" s="3">
        <v>3571</v>
      </c>
      <c r="P5" s="3">
        <v>26</v>
      </c>
      <c r="Q5" s="3">
        <v>192</v>
      </c>
      <c r="R5" s="3">
        <v>80.400000000000006</v>
      </c>
      <c r="S5" s="3">
        <v>27</v>
      </c>
      <c r="T5" s="5">
        <v>126</v>
      </c>
      <c r="U5" s="4">
        <v>451</v>
      </c>
      <c r="V5" s="3">
        <v>1876</v>
      </c>
      <c r="W5" s="3">
        <v>15</v>
      </c>
      <c r="X5" s="3">
        <v>105</v>
      </c>
      <c r="Y5" s="4">
        <v>17</v>
      </c>
      <c r="Z5" s="5">
        <v>8</v>
      </c>
      <c r="AA5" s="4">
        <v>27</v>
      </c>
      <c r="AB5" s="5">
        <v>270</v>
      </c>
      <c r="AC5" s="4">
        <v>55</v>
      </c>
      <c r="AD5" s="5">
        <v>1336</v>
      </c>
      <c r="AE5" s="4">
        <v>18</v>
      </c>
      <c r="AF5" s="3">
        <v>14</v>
      </c>
      <c r="AG5" s="3">
        <v>11</v>
      </c>
      <c r="AH5" s="3">
        <v>5</v>
      </c>
      <c r="AI5" s="4">
        <v>63</v>
      </c>
      <c r="AJ5" s="5">
        <v>263</v>
      </c>
      <c r="AK5" s="4">
        <v>325</v>
      </c>
      <c r="AL5" s="3">
        <v>5582</v>
      </c>
      <c r="AM5" s="3">
        <v>997</v>
      </c>
      <c r="AN5" s="5">
        <v>303</v>
      </c>
      <c r="AO5" s="4">
        <v>335</v>
      </c>
      <c r="AP5" s="3">
        <v>536</v>
      </c>
      <c r="AQ5" s="3">
        <v>3871</v>
      </c>
      <c r="AR5" s="3">
        <v>25</v>
      </c>
      <c r="AS5" s="3">
        <v>197</v>
      </c>
      <c r="AT5" s="3">
        <v>28</v>
      </c>
      <c r="AU5" s="5">
        <v>170</v>
      </c>
      <c r="AV5" s="4">
        <v>433</v>
      </c>
      <c r="AW5" s="3">
        <v>1711</v>
      </c>
      <c r="AX5" s="3">
        <v>10</v>
      </c>
      <c r="AY5" s="3">
        <v>89</v>
      </c>
      <c r="AZ5" s="4">
        <v>15</v>
      </c>
      <c r="BA5" s="5">
        <v>13</v>
      </c>
    </row>
    <row r="6" spans="1:53" x14ac:dyDescent="0.25">
      <c r="A6" s="4" t="s">
        <v>8</v>
      </c>
      <c r="B6" s="40">
        <v>2009</v>
      </c>
      <c r="C6" s="4">
        <v>9</v>
      </c>
      <c r="D6" s="3">
        <v>7</v>
      </c>
      <c r="E6" s="71" t="s">
        <v>97</v>
      </c>
      <c r="F6" s="3">
        <v>7.5</v>
      </c>
      <c r="G6" s="3">
        <v>2.6</v>
      </c>
      <c r="H6" s="5">
        <v>4.9000000000000004</v>
      </c>
      <c r="I6" s="4">
        <v>391</v>
      </c>
      <c r="J6" s="3">
        <v>5619</v>
      </c>
      <c r="K6" s="3">
        <v>1014</v>
      </c>
      <c r="L6" s="5">
        <v>320</v>
      </c>
      <c r="M6" s="4">
        <v>321</v>
      </c>
      <c r="N6" s="3">
        <v>510</v>
      </c>
      <c r="O6" s="3">
        <v>3419</v>
      </c>
      <c r="P6" s="3">
        <v>21</v>
      </c>
      <c r="Q6" s="3">
        <v>187</v>
      </c>
      <c r="R6" s="3">
        <v>87.4</v>
      </c>
      <c r="S6" s="3">
        <v>36</v>
      </c>
      <c r="T6" s="5">
        <v>218</v>
      </c>
      <c r="U6" s="4">
        <v>468</v>
      </c>
      <c r="V6" s="3">
        <v>2200</v>
      </c>
      <c r="W6" s="3">
        <v>22</v>
      </c>
      <c r="X6" s="3">
        <v>115</v>
      </c>
      <c r="Y6" s="4">
        <v>13</v>
      </c>
      <c r="Z6" s="5">
        <v>9</v>
      </c>
      <c r="AA6" s="4">
        <v>39</v>
      </c>
      <c r="AB6" s="5">
        <v>290</v>
      </c>
      <c r="AC6" s="4">
        <v>59</v>
      </c>
      <c r="AD6" s="5">
        <v>1547</v>
      </c>
      <c r="AE6" s="4">
        <v>20</v>
      </c>
      <c r="AF6" s="3">
        <v>15</v>
      </c>
      <c r="AG6" s="3">
        <v>10</v>
      </c>
      <c r="AH6" s="3">
        <v>6</v>
      </c>
      <c r="AI6" s="4">
        <v>74</v>
      </c>
      <c r="AJ6" s="5">
        <v>319</v>
      </c>
      <c r="AK6" s="4">
        <v>261</v>
      </c>
      <c r="AL6" s="3">
        <v>4808</v>
      </c>
      <c r="AM6" s="3">
        <v>991</v>
      </c>
      <c r="AN6" s="5">
        <v>280</v>
      </c>
      <c r="AO6" s="4">
        <v>306</v>
      </c>
      <c r="AP6" s="3">
        <v>524</v>
      </c>
      <c r="AQ6" s="3">
        <v>3316</v>
      </c>
      <c r="AR6" s="3">
        <v>17</v>
      </c>
      <c r="AS6" s="3">
        <v>164</v>
      </c>
      <c r="AT6" s="3">
        <v>32</v>
      </c>
      <c r="AU6" s="5">
        <v>190</v>
      </c>
      <c r="AV6" s="4">
        <v>435</v>
      </c>
      <c r="AW6" s="3">
        <v>1492</v>
      </c>
      <c r="AX6" s="3">
        <v>8</v>
      </c>
      <c r="AY6" s="3">
        <v>82</v>
      </c>
      <c r="AZ6" s="4">
        <v>22</v>
      </c>
      <c r="BA6" s="5">
        <v>10</v>
      </c>
    </row>
    <row r="7" spans="1:53" x14ac:dyDescent="0.25">
      <c r="A7" s="4" t="s">
        <v>6</v>
      </c>
      <c r="B7" s="40">
        <v>2009</v>
      </c>
      <c r="C7" s="4">
        <v>6</v>
      </c>
      <c r="D7" s="3">
        <v>10</v>
      </c>
      <c r="E7" s="71" t="s">
        <v>96</v>
      </c>
      <c r="F7" s="3">
        <v>-1.8</v>
      </c>
      <c r="G7" s="3">
        <v>-4.5</v>
      </c>
      <c r="H7" s="5">
        <v>2.7</v>
      </c>
      <c r="I7" s="4">
        <v>258</v>
      </c>
      <c r="J7" s="3">
        <v>4382</v>
      </c>
      <c r="K7" s="3">
        <v>911</v>
      </c>
      <c r="L7" s="5">
        <v>233</v>
      </c>
      <c r="M7" s="4">
        <v>256</v>
      </c>
      <c r="N7" s="3">
        <v>441</v>
      </c>
      <c r="O7" s="3">
        <v>2515</v>
      </c>
      <c r="P7" s="3">
        <v>17</v>
      </c>
      <c r="Q7" s="3">
        <v>126</v>
      </c>
      <c r="R7" s="3">
        <v>71.7</v>
      </c>
      <c r="S7" s="3">
        <v>46</v>
      </c>
      <c r="T7" s="5">
        <v>274</v>
      </c>
      <c r="U7" s="4">
        <v>424</v>
      </c>
      <c r="V7" s="3">
        <v>1867</v>
      </c>
      <c r="W7" s="3">
        <v>6</v>
      </c>
      <c r="X7" s="3">
        <v>81</v>
      </c>
      <c r="Y7" s="4">
        <v>19</v>
      </c>
      <c r="Z7" s="5">
        <v>11</v>
      </c>
      <c r="AA7" s="4">
        <v>33</v>
      </c>
      <c r="AB7" s="5">
        <v>218</v>
      </c>
      <c r="AC7" s="4">
        <v>64</v>
      </c>
      <c r="AD7" s="5">
        <v>1517</v>
      </c>
      <c r="AE7" s="4">
        <v>21</v>
      </c>
      <c r="AF7" s="3">
        <v>21</v>
      </c>
      <c r="AG7" s="3">
        <v>12</v>
      </c>
      <c r="AH7" s="3">
        <v>7</v>
      </c>
      <c r="AI7" s="4">
        <v>90</v>
      </c>
      <c r="AJ7" s="5">
        <v>419</v>
      </c>
      <c r="AK7" s="4">
        <v>326</v>
      </c>
      <c r="AL7" s="3">
        <v>5449</v>
      </c>
      <c r="AM7" s="3">
        <v>1086</v>
      </c>
      <c r="AN7" s="5">
        <v>310</v>
      </c>
      <c r="AO7" s="4">
        <v>295</v>
      </c>
      <c r="AP7" s="3">
        <v>519</v>
      </c>
      <c r="AQ7" s="3">
        <v>2948</v>
      </c>
      <c r="AR7" s="3">
        <v>14</v>
      </c>
      <c r="AS7" s="3">
        <v>157</v>
      </c>
      <c r="AT7" s="3">
        <v>32</v>
      </c>
      <c r="AU7" s="5">
        <v>189</v>
      </c>
      <c r="AV7" s="4">
        <v>535</v>
      </c>
      <c r="AW7" s="3">
        <v>2501</v>
      </c>
      <c r="AX7" s="3">
        <v>19</v>
      </c>
      <c r="AY7" s="3">
        <v>134</v>
      </c>
      <c r="AZ7" s="4">
        <v>28</v>
      </c>
      <c r="BA7" s="5">
        <v>5</v>
      </c>
    </row>
    <row r="8" spans="1:53" x14ac:dyDescent="0.25">
      <c r="A8" s="4" t="s">
        <v>29</v>
      </c>
      <c r="B8" s="40">
        <v>2009</v>
      </c>
      <c r="C8" s="4">
        <v>8</v>
      </c>
      <c r="D8" s="3">
        <v>8</v>
      </c>
      <c r="E8" s="71" t="s">
        <v>96</v>
      </c>
      <c r="F8" s="3">
        <v>3.9</v>
      </c>
      <c r="G8" s="3">
        <v>-0.6</v>
      </c>
      <c r="H8" s="5">
        <v>4.5</v>
      </c>
      <c r="I8" s="4">
        <v>315</v>
      </c>
      <c r="J8" s="3">
        <v>5297</v>
      </c>
      <c r="K8" s="3">
        <v>1023</v>
      </c>
      <c r="L8" s="5">
        <v>289</v>
      </c>
      <c r="M8" s="4">
        <v>264</v>
      </c>
      <c r="N8" s="3">
        <v>465</v>
      </c>
      <c r="O8" s="3">
        <v>2799</v>
      </c>
      <c r="P8" s="3">
        <v>16</v>
      </c>
      <c r="Q8" s="3">
        <v>152</v>
      </c>
      <c r="R8" s="3">
        <v>70.5</v>
      </c>
      <c r="S8" s="3">
        <v>33</v>
      </c>
      <c r="T8" s="5">
        <v>271</v>
      </c>
      <c r="U8" s="4">
        <v>525</v>
      </c>
      <c r="V8" s="3">
        <v>2498</v>
      </c>
      <c r="W8" s="3">
        <v>18</v>
      </c>
      <c r="X8" s="3">
        <v>123</v>
      </c>
      <c r="Y8" s="4">
        <v>20</v>
      </c>
      <c r="Z8" s="5">
        <v>11</v>
      </c>
      <c r="AA8" s="4">
        <v>34</v>
      </c>
      <c r="AB8" s="5">
        <v>282</v>
      </c>
      <c r="AC8" s="4">
        <v>51</v>
      </c>
      <c r="AD8" s="5">
        <v>1015</v>
      </c>
      <c r="AE8" s="4">
        <v>17</v>
      </c>
      <c r="AF8" s="3">
        <v>16</v>
      </c>
      <c r="AG8" s="3">
        <v>10</v>
      </c>
      <c r="AH8" s="3">
        <v>6</v>
      </c>
      <c r="AI8" s="4">
        <v>77</v>
      </c>
      <c r="AJ8" s="5">
        <v>335</v>
      </c>
      <c r="AK8" s="4">
        <v>308</v>
      </c>
      <c r="AL8" s="3">
        <v>5053</v>
      </c>
      <c r="AM8" s="3">
        <v>976</v>
      </c>
      <c r="AN8" s="5">
        <v>290</v>
      </c>
      <c r="AO8" s="4">
        <v>305</v>
      </c>
      <c r="AP8" s="3">
        <v>495</v>
      </c>
      <c r="AQ8" s="3">
        <v>3056</v>
      </c>
      <c r="AR8" s="3">
        <v>14</v>
      </c>
      <c r="AS8" s="3">
        <v>155</v>
      </c>
      <c r="AT8" s="3">
        <v>31</v>
      </c>
      <c r="AU8" s="5">
        <v>193</v>
      </c>
      <c r="AV8" s="4">
        <v>450</v>
      </c>
      <c r="AW8" s="3">
        <v>1997</v>
      </c>
      <c r="AX8" s="3">
        <v>15</v>
      </c>
      <c r="AY8" s="3">
        <v>109</v>
      </c>
      <c r="AZ8" s="4">
        <v>22</v>
      </c>
      <c r="BA8" s="5">
        <v>15</v>
      </c>
    </row>
    <row r="9" spans="1:53" x14ac:dyDescent="0.25">
      <c r="A9" s="4" t="s">
        <v>25</v>
      </c>
      <c r="B9" s="40">
        <v>2009</v>
      </c>
      <c r="C9" s="4">
        <v>7</v>
      </c>
      <c r="D9" s="3">
        <v>9</v>
      </c>
      <c r="E9" s="71" t="s">
        <v>96</v>
      </c>
      <c r="F9" s="3">
        <v>-3.9</v>
      </c>
      <c r="G9" s="3">
        <v>-1.9</v>
      </c>
      <c r="H9" s="5">
        <v>-2</v>
      </c>
      <c r="I9" s="4">
        <v>327</v>
      </c>
      <c r="J9" s="3">
        <v>4965</v>
      </c>
      <c r="K9" s="3">
        <v>971</v>
      </c>
      <c r="L9" s="5">
        <v>262</v>
      </c>
      <c r="M9" s="4">
        <v>340</v>
      </c>
      <c r="N9" s="3">
        <v>563</v>
      </c>
      <c r="O9" s="3">
        <v>3473</v>
      </c>
      <c r="P9" s="3">
        <v>27</v>
      </c>
      <c r="Q9" s="3">
        <v>170</v>
      </c>
      <c r="R9" s="3">
        <v>75.599999999999994</v>
      </c>
      <c r="S9" s="3">
        <v>35</v>
      </c>
      <c r="T9" s="5">
        <v>204</v>
      </c>
      <c r="U9" s="4">
        <v>373</v>
      </c>
      <c r="V9" s="3">
        <v>1492</v>
      </c>
      <c r="W9" s="3">
        <v>6</v>
      </c>
      <c r="X9" s="3">
        <v>71</v>
      </c>
      <c r="Y9" s="4">
        <v>27</v>
      </c>
      <c r="Z9" s="5">
        <v>7</v>
      </c>
      <c r="AA9" s="4">
        <v>39</v>
      </c>
      <c r="AB9" s="5">
        <v>330</v>
      </c>
      <c r="AC9" s="4">
        <v>80</v>
      </c>
      <c r="AD9" s="5">
        <v>1999</v>
      </c>
      <c r="AE9" s="4">
        <v>15</v>
      </c>
      <c r="AF9" s="3">
        <v>15</v>
      </c>
      <c r="AG9" s="3">
        <v>13</v>
      </c>
      <c r="AH9" s="3">
        <v>9</v>
      </c>
      <c r="AI9" s="4">
        <v>77</v>
      </c>
      <c r="AJ9" s="5">
        <v>319</v>
      </c>
      <c r="AK9" s="4">
        <v>375</v>
      </c>
      <c r="AL9" s="3">
        <v>5404</v>
      </c>
      <c r="AM9" s="3">
        <v>1033</v>
      </c>
      <c r="AN9" s="5">
        <v>312</v>
      </c>
      <c r="AO9" s="4">
        <v>341</v>
      </c>
      <c r="AP9" s="3">
        <v>531</v>
      </c>
      <c r="AQ9" s="3">
        <v>3382</v>
      </c>
      <c r="AR9" s="3">
        <v>29</v>
      </c>
      <c r="AS9" s="3">
        <v>186</v>
      </c>
      <c r="AT9" s="3">
        <v>35</v>
      </c>
      <c r="AU9" s="5">
        <v>272</v>
      </c>
      <c r="AV9" s="4">
        <v>467</v>
      </c>
      <c r="AW9" s="3">
        <v>2022</v>
      </c>
      <c r="AX9" s="3">
        <v>14</v>
      </c>
      <c r="AY9" s="3">
        <v>105</v>
      </c>
      <c r="AZ9" s="4">
        <v>13</v>
      </c>
      <c r="BA9" s="5">
        <v>15</v>
      </c>
    </row>
    <row r="10" spans="1:53" x14ac:dyDescent="0.25">
      <c r="A10" s="4" t="s">
        <v>7</v>
      </c>
      <c r="B10" s="40">
        <v>2009</v>
      </c>
      <c r="C10" s="4">
        <v>10</v>
      </c>
      <c r="D10" s="3">
        <v>6</v>
      </c>
      <c r="E10" s="71" t="s">
        <v>97</v>
      </c>
      <c r="F10" s="3">
        <v>0.7</v>
      </c>
      <c r="G10" s="3">
        <v>-2.5</v>
      </c>
      <c r="H10" s="5">
        <v>3.2</v>
      </c>
      <c r="I10" s="4">
        <v>305</v>
      </c>
      <c r="J10" s="3">
        <v>4946</v>
      </c>
      <c r="K10" s="3">
        <v>1011</v>
      </c>
      <c r="L10" s="5">
        <v>295</v>
      </c>
      <c r="M10" s="4">
        <v>286</v>
      </c>
      <c r="N10" s="3">
        <v>477</v>
      </c>
      <c r="O10" s="3">
        <v>2890</v>
      </c>
      <c r="P10" s="3">
        <v>21</v>
      </c>
      <c r="Q10" s="3">
        <v>159</v>
      </c>
      <c r="R10" s="3">
        <v>82.7</v>
      </c>
      <c r="S10" s="3">
        <v>29</v>
      </c>
      <c r="T10" s="5">
        <v>244</v>
      </c>
      <c r="U10" s="4">
        <v>505</v>
      </c>
      <c r="V10" s="3">
        <v>2056</v>
      </c>
      <c r="W10" s="3">
        <v>9</v>
      </c>
      <c r="X10" s="3">
        <v>109</v>
      </c>
      <c r="Y10" s="4">
        <v>13</v>
      </c>
      <c r="Z10" s="5">
        <v>12</v>
      </c>
      <c r="AA10" s="4">
        <v>40</v>
      </c>
      <c r="AB10" s="5">
        <v>474</v>
      </c>
      <c r="AC10" s="4">
        <v>62</v>
      </c>
      <c r="AD10" s="5">
        <v>1356</v>
      </c>
      <c r="AE10" s="4">
        <v>21</v>
      </c>
      <c r="AF10" s="3">
        <v>18</v>
      </c>
      <c r="AG10" s="3">
        <v>7</v>
      </c>
      <c r="AH10" s="3">
        <v>5</v>
      </c>
      <c r="AI10" s="4">
        <v>86</v>
      </c>
      <c r="AJ10" s="5">
        <v>372</v>
      </c>
      <c r="AK10" s="4">
        <v>291</v>
      </c>
      <c r="AL10" s="3">
        <v>4822</v>
      </c>
      <c r="AM10" s="3">
        <v>980</v>
      </c>
      <c r="AN10" s="5">
        <v>276</v>
      </c>
      <c r="AO10" s="4">
        <v>318</v>
      </c>
      <c r="AP10" s="3">
        <v>547</v>
      </c>
      <c r="AQ10" s="3">
        <v>3249</v>
      </c>
      <c r="AR10" s="3">
        <v>18</v>
      </c>
      <c r="AS10" s="3">
        <v>165</v>
      </c>
      <c r="AT10" s="3">
        <v>34</v>
      </c>
      <c r="AU10" s="5">
        <v>237</v>
      </c>
      <c r="AV10" s="4">
        <v>399</v>
      </c>
      <c r="AW10" s="3">
        <v>1573</v>
      </c>
      <c r="AX10" s="3">
        <v>12</v>
      </c>
      <c r="AY10" s="3">
        <v>95</v>
      </c>
      <c r="AZ10" s="4">
        <v>19</v>
      </c>
      <c r="BA10" s="5">
        <v>6</v>
      </c>
    </row>
    <row r="11" spans="1:53" x14ac:dyDescent="0.25">
      <c r="A11" s="4" t="s">
        <v>10</v>
      </c>
      <c r="B11" s="40">
        <v>2009</v>
      </c>
      <c r="C11" s="4">
        <v>5</v>
      </c>
      <c r="D11" s="3">
        <v>11</v>
      </c>
      <c r="E11" s="71" t="s">
        <v>96</v>
      </c>
      <c r="F11" s="3">
        <v>-8.4</v>
      </c>
      <c r="G11" s="3">
        <v>-6</v>
      </c>
      <c r="H11" s="5">
        <v>-2.4</v>
      </c>
      <c r="I11" s="4">
        <v>245</v>
      </c>
      <c r="J11" s="3">
        <v>4163</v>
      </c>
      <c r="K11" s="3">
        <v>971</v>
      </c>
      <c r="L11" s="5">
        <v>237</v>
      </c>
      <c r="M11" s="4">
        <v>219</v>
      </c>
      <c r="N11" s="3">
        <v>443</v>
      </c>
      <c r="O11" s="3">
        <v>2076</v>
      </c>
      <c r="P11" s="3">
        <v>11</v>
      </c>
      <c r="Q11" s="3">
        <v>118</v>
      </c>
      <c r="R11" s="3">
        <v>55.8</v>
      </c>
      <c r="S11" s="3">
        <v>30</v>
      </c>
      <c r="T11" s="5">
        <v>179</v>
      </c>
      <c r="U11" s="4">
        <v>498</v>
      </c>
      <c r="V11" s="3">
        <v>2087</v>
      </c>
      <c r="W11" s="3">
        <v>10</v>
      </c>
      <c r="X11" s="3">
        <v>102</v>
      </c>
      <c r="Y11" s="4">
        <v>18</v>
      </c>
      <c r="Z11" s="5">
        <v>13</v>
      </c>
      <c r="AA11" s="4">
        <v>39</v>
      </c>
      <c r="AB11" s="5">
        <v>456</v>
      </c>
      <c r="AC11" s="4">
        <v>69</v>
      </c>
      <c r="AD11" s="5">
        <v>1670</v>
      </c>
      <c r="AE11" s="4">
        <v>18</v>
      </c>
      <c r="AF11" s="3">
        <v>18</v>
      </c>
      <c r="AG11" s="3">
        <v>7</v>
      </c>
      <c r="AH11" s="3">
        <v>5</v>
      </c>
      <c r="AI11" s="4">
        <v>94</v>
      </c>
      <c r="AJ11" s="5">
        <v>398</v>
      </c>
      <c r="AK11" s="4">
        <v>375</v>
      </c>
      <c r="AL11" s="3">
        <v>6229</v>
      </c>
      <c r="AM11" s="3">
        <v>1072</v>
      </c>
      <c r="AN11" s="5">
        <v>336</v>
      </c>
      <c r="AO11" s="4">
        <v>313</v>
      </c>
      <c r="AP11" s="3">
        <v>526</v>
      </c>
      <c r="AQ11" s="3">
        <v>3915</v>
      </c>
      <c r="AR11" s="3">
        <v>22</v>
      </c>
      <c r="AS11" s="3">
        <v>189</v>
      </c>
      <c r="AT11" s="3">
        <v>40</v>
      </c>
      <c r="AU11" s="5">
        <v>234</v>
      </c>
      <c r="AV11" s="4">
        <v>506</v>
      </c>
      <c r="AW11" s="3">
        <v>2314</v>
      </c>
      <c r="AX11" s="3">
        <v>15</v>
      </c>
      <c r="AY11" s="3">
        <v>120</v>
      </c>
      <c r="AZ11" s="4">
        <v>10</v>
      </c>
      <c r="BA11" s="5">
        <v>9</v>
      </c>
    </row>
    <row r="12" spans="1:53" x14ac:dyDescent="0.25">
      <c r="A12" s="4" t="s">
        <v>19</v>
      </c>
      <c r="B12" s="40">
        <v>2009</v>
      </c>
      <c r="C12" s="4">
        <v>11</v>
      </c>
      <c r="D12" s="3">
        <v>5</v>
      </c>
      <c r="E12" s="71" t="s">
        <v>97</v>
      </c>
      <c r="F12" s="3">
        <v>7.1</v>
      </c>
      <c r="G12" s="3">
        <v>0.4</v>
      </c>
      <c r="H12" s="5">
        <v>6.7</v>
      </c>
      <c r="I12" s="4">
        <v>361</v>
      </c>
      <c r="J12" s="3">
        <v>6390</v>
      </c>
      <c r="K12" s="3">
        <v>1020</v>
      </c>
      <c r="L12" s="5">
        <v>335</v>
      </c>
      <c r="M12" s="4">
        <v>347</v>
      </c>
      <c r="N12" s="3">
        <v>550</v>
      </c>
      <c r="O12" s="3">
        <v>4287</v>
      </c>
      <c r="P12" s="3">
        <v>26</v>
      </c>
      <c r="Q12" s="3">
        <v>203</v>
      </c>
      <c r="R12" s="3">
        <v>97.6</v>
      </c>
      <c r="S12" s="3">
        <v>34</v>
      </c>
      <c r="T12" s="5">
        <v>196</v>
      </c>
      <c r="U12" s="4">
        <v>436</v>
      </c>
      <c r="V12" s="3">
        <v>2103</v>
      </c>
      <c r="W12" s="3">
        <v>14</v>
      </c>
      <c r="X12" s="3">
        <v>110</v>
      </c>
      <c r="Y12" s="4">
        <v>9</v>
      </c>
      <c r="Z12" s="5">
        <v>10</v>
      </c>
      <c r="AA12" s="4">
        <v>39</v>
      </c>
      <c r="AB12" s="5">
        <v>426</v>
      </c>
      <c r="AC12" s="4">
        <v>47</v>
      </c>
      <c r="AD12" s="5">
        <v>1032</v>
      </c>
      <c r="AE12" s="4">
        <v>16</v>
      </c>
      <c r="AF12" s="3">
        <v>13</v>
      </c>
      <c r="AG12" s="3">
        <v>15</v>
      </c>
      <c r="AH12" s="3">
        <v>7</v>
      </c>
      <c r="AI12" s="4">
        <v>72</v>
      </c>
      <c r="AJ12" s="5">
        <v>325</v>
      </c>
      <c r="AK12" s="4">
        <v>250</v>
      </c>
      <c r="AL12" s="3">
        <v>5054</v>
      </c>
      <c r="AM12" s="3">
        <v>979</v>
      </c>
      <c r="AN12" s="5">
        <v>286</v>
      </c>
      <c r="AO12" s="4">
        <v>344</v>
      </c>
      <c r="AP12" s="3">
        <v>572</v>
      </c>
      <c r="AQ12" s="3">
        <v>3606</v>
      </c>
      <c r="AR12" s="3">
        <v>19</v>
      </c>
      <c r="AS12" s="3">
        <v>186</v>
      </c>
      <c r="AT12" s="3">
        <v>42</v>
      </c>
      <c r="AU12" s="5">
        <v>268</v>
      </c>
      <c r="AV12" s="4">
        <v>365</v>
      </c>
      <c r="AW12" s="3">
        <v>1448</v>
      </c>
      <c r="AX12" s="3">
        <v>7</v>
      </c>
      <c r="AY12" s="3">
        <v>74</v>
      </c>
      <c r="AZ12" s="4">
        <v>11</v>
      </c>
      <c r="BA12" s="5">
        <v>10</v>
      </c>
    </row>
    <row r="13" spans="1:53" x14ac:dyDescent="0.25">
      <c r="A13" s="4" t="s">
        <v>16</v>
      </c>
      <c r="B13" s="40">
        <v>2009</v>
      </c>
      <c r="C13" s="4">
        <v>8</v>
      </c>
      <c r="D13" s="3">
        <v>8</v>
      </c>
      <c r="E13" s="71" t="s">
        <v>96</v>
      </c>
      <c r="F13" s="3">
        <v>0.3</v>
      </c>
      <c r="G13" s="3">
        <v>-1</v>
      </c>
      <c r="H13" s="5">
        <v>1.3</v>
      </c>
      <c r="I13" s="4">
        <v>326</v>
      </c>
      <c r="J13" s="3">
        <v>5463</v>
      </c>
      <c r="K13" s="3">
        <v>1032</v>
      </c>
      <c r="L13" s="5">
        <v>306</v>
      </c>
      <c r="M13" s="4">
        <v>341</v>
      </c>
      <c r="N13" s="3">
        <v>558</v>
      </c>
      <c r="O13" s="3">
        <v>3627</v>
      </c>
      <c r="P13" s="3">
        <v>21</v>
      </c>
      <c r="Q13" s="3">
        <v>186</v>
      </c>
      <c r="R13" s="3">
        <v>84.4</v>
      </c>
      <c r="S13" s="3">
        <v>34</v>
      </c>
      <c r="T13" s="5">
        <v>198</v>
      </c>
      <c r="U13" s="4">
        <v>440</v>
      </c>
      <c r="V13" s="3">
        <v>1836</v>
      </c>
      <c r="W13" s="3">
        <v>9</v>
      </c>
      <c r="X13" s="3">
        <v>95</v>
      </c>
      <c r="Y13" s="4">
        <v>13</v>
      </c>
      <c r="Z13" s="5">
        <v>10</v>
      </c>
      <c r="AA13" s="4">
        <v>44</v>
      </c>
      <c r="AB13" s="5">
        <v>419</v>
      </c>
      <c r="AC13" s="4">
        <v>57</v>
      </c>
      <c r="AD13" s="5">
        <v>1217</v>
      </c>
      <c r="AE13" s="4">
        <v>22</v>
      </c>
      <c r="AF13" s="3">
        <v>20</v>
      </c>
      <c r="AG13" s="3">
        <v>13</v>
      </c>
      <c r="AH13" s="3">
        <v>10</v>
      </c>
      <c r="AI13" s="4">
        <v>78</v>
      </c>
      <c r="AJ13" s="5">
        <v>339</v>
      </c>
      <c r="AK13" s="4">
        <v>324</v>
      </c>
      <c r="AL13" s="3">
        <v>5040</v>
      </c>
      <c r="AM13" s="3">
        <v>1007</v>
      </c>
      <c r="AN13" s="5">
        <v>290</v>
      </c>
      <c r="AO13" s="4">
        <v>298</v>
      </c>
      <c r="AP13" s="3">
        <v>510</v>
      </c>
      <c r="AQ13" s="3">
        <v>2981</v>
      </c>
      <c r="AR13" s="3">
        <v>18</v>
      </c>
      <c r="AS13" s="3">
        <v>167</v>
      </c>
      <c r="AT13" s="3">
        <v>39</v>
      </c>
      <c r="AU13" s="5">
        <v>241</v>
      </c>
      <c r="AV13" s="4">
        <v>458</v>
      </c>
      <c r="AW13" s="3">
        <v>2059</v>
      </c>
      <c r="AX13" s="3">
        <v>11</v>
      </c>
      <c r="AY13" s="3">
        <v>99</v>
      </c>
      <c r="AZ13" s="4">
        <v>17</v>
      </c>
      <c r="BA13" s="5">
        <v>13</v>
      </c>
    </row>
    <row r="14" spans="1:53" x14ac:dyDescent="0.25">
      <c r="A14" s="4" t="s">
        <v>26</v>
      </c>
      <c r="B14" s="40">
        <v>2009</v>
      </c>
      <c r="C14" s="4">
        <v>2</v>
      </c>
      <c r="D14" s="3">
        <v>14</v>
      </c>
      <c r="E14" s="71" t="s">
        <v>96</v>
      </c>
      <c r="F14" s="3">
        <v>-14.4</v>
      </c>
      <c r="G14" s="3">
        <v>-5.2</v>
      </c>
      <c r="H14" s="5">
        <v>-9.1999999999999993</v>
      </c>
      <c r="I14" s="4">
        <v>262</v>
      </c>
      <c r="J14" s="3">
        <v>4784</v>
      </c>
      <c r="K14" s="3">
        <v>1037</v>
      </c>
      <c r="L14" s="5">
        <v>281</v>
      </c>
      <c r="M14" s="4">
        <v>316</v>
      </c>
      <c r="N14" s="3">
        <v>585</v>
      </c>
      <c r="O14" s="3">
        <v>3168</v>
      </c>
      <c r="P14" s="3">
        <v>16</v>
      </c>
      <c r="Q14" s="3">
        <v>168</v>
      </c>
      <c r="R14" s="3">
        <v>58.1</v>
      </c>
      <c r="S14" s="3">
        <v>43</v>
      </c>
      <c r="T14" s="5">
        <v>303</v>
      </c>
      <c r="U14" s="4">
        <v>409</v>
      </c>
      <c r="V14" s="3">
        <v>1616</v>
      </c>
      <c r="W14" s="3">
        <v>9</v>
      </c>
      <c r="X14" s="3">
        <v>82</v>
      </c>
      <c r="Y14" s="4">
        <v>32</v>
      </c>
      <c r="Z14" s="5">
        <v>9</v>
      </c>
      <c r="AA14" s="4">
        <v>28</v>
      </c>
      <c r="AB14" s="5">
        <v>233</v>
      </c>
      <c r="AC14" s="4">
        <v>96</v>
      </c>
      <c r="AD14" s="5">
        <v>2050</v>
      </c>
      <c r="AE14" s="4">
        <v>14</v>
      </c>
      <c r="AF14" s="3">
        <v>13</v>
      </c>
      <c r="AG14" s="3">
        <v>14</v>
      </c>
      <c r="AH14" s="3">
        <v>8</v>
      </c>
      <c r="AI14" s="4">
        <v>74</v>
      </c>
      <c r="AJ14" s="5">
        <v>317</v>
      </c>
      <c r="AK14" s="4">
        <v>494</v>
      </c>
      <c r="AL14" s="3">
        <v>6274</v>
      </c>
      <c r="AM14" s="3">
        <v>1029</v>
      </c>
      <c r="AN14" s="5">
        <v>332</v>
      </c>
      <c r="AO14" s="4">
        <v>371</v>
      </c>
      <c r="AP14" s="3">
        <v>545</v>
      </c>
      <c r="AQ14" s="3">
        <v>4249</v>
      </c>
      <c r="AR14" s="3">
        <v>35</v>
      </c>
      <c r="AS14" s="3">
        <v>213</v>
      </c>
      <c r="AT14" s="3">
        <v>26</v>
      </c>
      <c r="AU14" s="5">
        <v>150</v>
      </c>
      <c r="AV14" s="4">
        <v>458</v>
      </c>
      <c r="AW14" s="3">
        <v>2025</v>
      </c>
      <c r="AX14" s="3">
        <v>18</v>
      </c>
      <c r="AY14" s="3">
        <v>95</v>
      </c>
      <c r="AZ14" s="4">
        <v>9</v>
      </c>
      <c r="BA14" s="5">
        <v>14</v>
      </c>
    </row>
    <row r="15" spans="1:53" x14ac:dyDescent="0.25">
      <c r="A15" s="4" t="s">
        <v>24</v>
      </c>
      <c r="B15" s="40">
        <v>2009</v>
      </c>
      <c r="C15" s="4">
        <v>11</v>
      </c>
      <c r="D15" s="3">
        <v>5</v>
      </c>
      <c r="E15" s="71" t="s">
        <v>97</v>
      </c>
      <c r="F15" s="3">
        <v>7.4</v>
      </c>
      <c r="G15" s="3">
        <v>6.3</v>
      </c>
      <c r="H15" s="5">
        <v>1.1000000000000001</v>
      </c>
      <c r="I15" s="4">
        <v>461</v>
      </c>
      <c r="J15" s="3">
        <v>6065</v>
      </c>
      <c r="K15" s="3">
        <v>1042</v>
      </c>
      <c r="L15" s="5">
        <v>335</v>
      </c>
      <c r="M15" s="4">
        <v>357</v>
      </c>
      <c r="N15" s="3">
        <v>553</v>
      </c>
      <c r="O15" s="3">
        <v>4180</v>
      </c>
      <c r="P15" s="3">
        <v>30</v>
      </c>
      <c r="Q15" s="3">
        <v>201</v>
      </c>
      <c r="R15" s="3">
        <v>101.8</v>
      </c>
      <c r="S15" s="3">
        <v>51</v>
      </c>
      <c r="T15" s="5">
        <v>312</v>
      </c>
      <c r="U15" s="4">
        <v>438</v>
      </c>
      <c r="V15" s="3">
        <v>1885</v>
      </c>
      <c r="W15" s="3">
        <v>20</v>
      </c>
      <c r="X15" s="3">
        <v>102</v>
      </c>
      <c r="Y15" s="4">
        <v>8</v>
      </c>
      <c r="Z15" s="5">
        <v>8</v>
      </c>
      <c r="AA15" s="4">
        <v>34</v>
      </c>
      <c r="AB15" s="5">
        <v>236</v>
      </c>
      <c r="AC15" s="4">
        <v>54</v>
      </c>
      <c r="AD15" s="5">
        <v>1193</v>
      </c>
      <c r="AE15" s="4">
        <v>23</v>
      </c>
      <c r="AF15" s="3">
        <v>21</v>
      </c>
      <c r="AG15" s="3">
        <v>13</v>
      </c>
      <c r="AH15" s="3">
        <v>6</v>
      </c>
      <c r="AI15" s="4">
        <v>67</v>
      </c>
      <c r="AJ15" s="5">
        <v>289</v>
      </c>
      <c r="AK15" s="4">
        <v>297</v>
      </c>
      <c r="AL15" s="3">
        <v>4551</v>
      </c>
      <c r="AM15" s="3">
        <v>948</v>
      </c>
      <c r="AN15" s="5">
        <v>272</v>
      </c>
      <c r="AO15" s="4">
        <v>294</v>
      </c>
      <c r="AP15" s="3">
        <v>540</v>
      </c>
      <c r="AQ15" s="3">
        <v>3218</v>
      </c>
      <c r="AR15" s="3">
        <v>29</v>
      </c>
      <c r="AS15" s="3">
        <v>168</v>
      </c>
      <c r="AT15" s="3">
        <v>37</v>
      </c>
      <c r="AU15" s="5">
        <v>232</v>
      </c>
      <c r="AV15" s="4">
        <v>371</v>
      </c>
      <c r="AW15" s="3">
        <v>1333</v>
      </c>
      <c r="AX15" s="3">
        <v>5</v>
      </c>
      <c r="AY15" s="3">
        <v>68</v>
      </c>
      <c r="AZ15" s="4">
        <v>30</v>
      </c>
      <c r="BA15" s="5">
        <v>10</v>
      </c>
    </row>
    <row r="16" spans="1:53" x14ac:dyDescent="0.25">
      <c r="A16" s="4" t="s">
        <v>12</v>
      </c>
      <c r="B16" s="40">
        <v>2009</v>
      </c>
      <c r="C16" s="4">
        <v>9</v>
      </c>
      <c r="D16" s="3">
        <v>7</v>
      </c>
      <c r="E16" s="71" t="s">
        <v>96</v>
      </c>
      <c r="F16" s="3">
        <v>2</v>
      </c>
      <c r="G16" s="3">
        <v>2.7</v>
      </c>
      <c r="H16" s="5">
        <v>-0.7</v>
      </c>
      <c r="I16" s="4">
        <v>388</v>
      </c>
      <c r="J16" s="3">
        <v>6129</v>
      </c>
      <c r="K16" s="3">
        <v>1043</v>
      </c>
      <c r="L16" s="5">
        <v>340</v>
      </c>
      <c r="M16" s="4">
        <v>399</v>
      </c>
      <c r="N16" s="3">
        <v>593</v>
      </c>
      <c r="O16" s="3">
        <v>4654</v>
      </c>
      <c r="P16" s="3">
        <v>29</v>
      </c>
      <c r="Q16" s="3">
        <v>231</v>
      </c>
      <c r="R16" s="3">
        <v>96.3</v>
      </c>
      <c r="S16" s="3">
        <v>25</v>
      </c>
      <c r="T16" s="5">
        <v>149</v>
      </c>
      <c r="U16" s="4">
        <v>425</v>
      </c>
      <c r="V16" s="3">
        <v>1475</v>
      </c>
      <c r="W16" s="3">
        <v>13</v>
      </c>
      <c r="X16" s="3">
        <v>93</v>
      </c>
      <c r="Y16" s="4">
        <v>17</v>
      </c>
      <c r="Z16" s="5">
        <v>11</v>
      </c>
      <c r="AA16" s="4">
        <v>45</v>
      </c>
      <c r="AB16" s="5">
        <v>449</v>
      </c>
      <c r="AC16" s="4">
        <v>64</v>
      </c>
      <c r="AD16" s="5">
        <v>1449</v>
      </c>
      <c r="AE16" s="4">
        <v>22</v>
      </c>
      <c r="AF16" s="3">
        <v>17</v>
      </c>
      <c r="AG16" s="3">
        <v>10</v>
      </c>
      <c r="AH16" s="3">
        <v>4</v>
      </c>
      <c r="AI16" s="4">
        <v>67</v>
      </c>
      <c r="AJ16" s="5">
        <v>286</v>
      </c>
      <c r="AK16" s="4">
        <v>333</v>
      </c>
      <c r="AL16" s="3">
        <v>5198</v>
      </c>
      <c r="AM16" s="3">
        <v>974</v>
      </c>
      <c r="AN16" s="5">
        <v>300</v>
      </c>
      <c r="AO16" s="4">
        <v>344</v>
      </c>
      <c r="AP16" s="3">
        <v>548</v>
      </c>
      <c r="AQ16" s="3">
        <v>3487</v>
      </c>
      <c r="AR16" s="3">
        <v>19</v>
      </c>
      <c r="AS16" s="3">
        <v>175</v>
      </c>
      <c r="AT16" s="3">
        <v>30</v>
      </c>
      <c r="AU16" s="5">
        <v>187</v>
      </c>
      <c r="AV16" s="4">
        <v>396</v>
      </c>
      <c r="AW16" s="3">
        <v>1711</v>
      </c>
      <c r="AX16" s="3">
        <v>17</v>
      </c>
      <c r="AY16" s="3">
        <v>91</v>
      </c>
      <c r="AZ16" s="4">
        <v>14</v>
      </c>
      <c r="BA16" s="5">
        <v>13</v>
      </c>
    </row>
    <row r="17" spans="1:53" x14ac:dyDescent="0.25">
      <c r="A17" s="4" t="s">
        <v>11</v>
      </c>
      <c r="B17" s="40">
        <v>2009</v>
      </c>
      <c r="C17" s="4">
        <v>14</v>
      </c>
      <c r="D17" s="3">
        <v>2</v>
      </c>
      <c r="E17" s="71" t="s">
        <v>97</v>
      </c>
      <c r="F17" s="3">
        <v>5.9</v>
      </c>
      <c r="G17" s="3">
        <v>4.4000000000000004</v>
      </c>
      <c r="H17" s="5">
        <v>1.5</v>
      </c>
      <c r="I17" s="4">
        <v>416</v>
      </c>
      <c r="J17" s="3">
        <v>5809</v>
      </c>
      <c r="K17" s="3">
        <v>980</v>
      </c>
      <c r="L17" s="5">
        <v>339</v>
      </c>
      <c r="M17" s="4">
        <v>402</v>
      </c>
      <c r="N17" s="3">
        <v>601</v>
      </c>
      <c r="O17" s="3">
        <v>4515</v>
      </c>
      <c r="P17" s="3">
        <v>34</v>
      </c>
      <c r="Q17" s="3">
        <v>241</v>
      </c>
      <c r="R17" s="3">
        <v>95.4</v>
      </c>
      <c r="S17" s="3">
        <v>13</v>
      </c>
      <c r="T17" s="5">
        <v>90</v>
      </c>
      <c r="U17" s="4">
        <v>366</v>
      </c>
      <c r="V17" s="3">
        <v>1294</v>
      </c>
      <c r="W17" s="3">
        <v>16</v>
      </c>
      <c r="X17" s="3">
        <v>69</v>
      </c>
      <c r="Y17" s="4">
        <v>19</v>
      </c>
      <c r="Z17" s="5">
        <v>5</v>
      </c>
      <c r="AA17" s="4">
        <v>29</v>
      </c>
      <c r="AB17" s="5">
        <v>151</v>
      </c>
      <c r="AC17" s="4">
        <v>55</v>
      </c>
      <c r="AD17" s="5">
        <v>1219</v>
      </c>
      <c r="AE17" s="4">
        <v>14</v>
      </c>
      <c r="AF17" s="3">
        <v>12</v>
      </c>
      <c r="AG17" s="3">
        <v>6</v>
      </c>
      <c r="AH17" s="3">
        <v>4</v>
      </c>
      <c r="AI17" s="4">
        <v>64</v>
      </c>
      <c r="AJ17" s="5">
        <v>284</v>
      </c>
      <c r="AK17" s="4">
        <v>307</v>
      </c>
      <c r="AL17" s="3">
        <v>5427</v>
      </c>
      <c r="AM17" s="3">
        <v>1084</v>
      </c>
      <c r="AN17" s="5">
        <v>320</v>
      </c>
      <c r="AO17" s="4">
        <v>372</v>
      </c>
      <c r="AP17" s="3">
        <v>583</v>
      </c>
      <c r="AQ17" s="3">
        <v>3403</v>
      </c>
      <c r="AR17" s="3">
        <v>19</v>
      </c>
      <c r="AS17" s="3">
        <v>203</v>
      </c>
      <c r="AT17" s="3">
        <v>34</v>
      </c>
      <c r="AU17" s="5">
        <v>228</v>
      </c>
      <c r="AV17" s="4">
        <v>467</v>
      </c>
      <c r="AW17" s="3">
        <v>2024</v>
      </c>
      <c r="AX17" s="3">
        <v>10</v>
      </c>
      <c r="AY17" s="3">
        <v>106</v>
      </c>
      <c r="AZ17" s="4">
        <v>16</v>
      </c>
      <c r="BA17" s="5">
        <v>10</v>
      </c>
    </row>
    <row r="18" spans="1:53" x14ac:dyDescent="0.25">
      <c r="A18" s="4" t="s">
        <v>14</v>
      </c>
      <c r="B18" s="40">
        <v>2009</v>
      </c>
      <c r="C18" s="4">
        <v>7</v>
      </c>
      <c r="D18" s="3">
        <v>9</v>
      </c>
      <c r="E18" s="71" t="s">
        <v>96</v>
      </c>
      <c r="F18" s="3">
        <v>-6.5</v>
      </c>
      <c r="G18" s="3">
        <v>-3.8</v>
      </c>
      <c r="H18" s="5">
        <v>-2.6</v>
      </c>
      <c r="I18" s="4">
        <v>290</v>
      </c>
      <c r="J18" s="3">
        <v>5385</v>
      </c>
      <c r="K18" s="3">
        <v>1010</v>
      </c>
      <c r="L18" s="5">
        <v>300</v>
      </c>
      <c r="M18" s="4">
        <v>315</v>
      </c>
      <c r="N18" s="3">
        <v>519</v>
      </c>
      <c r="O18" s="3">
        <v>3356</v>
      </c>
      <c r="P18" s="3">
        <v>15</v>
      </c>
      <c r="Q18" s="3">
        <v>170</v>
      </c>
      <c r="R18" s="3">
        <v>83.2</v>
      </c>
      <c r="S18" s="3">
        <v>44</v>
      </c>
      <c r="T18" s="5">
        <v>243</v>
      </c>
      <c r="U18" s="4">
        <v>447</v>
      </c>
      <c r="V18" s="3">
        <v>2029</v>
      </c>
      <c r="W18" s="3">
        <v>19</v>
      </c>
      <c r="X18" s="3">
        <v>114</v>
      </c>
      <c r="Y18" s="4">
        <v>10</v>
      </c>
      <c r="Z18" s="5">
        <v>13</v>
      </c>
      <c r="AA18" s="4">
        <v>27</v>
      </c>
      <c r="AB18" s="5">
        <v>233</v>
      </c>
      <c r="AC18" s="4">
        <v>66</v>
      </c>
      <c r="AD18" s="5">
        <v>1492</v>
      </c>
      <c r="AE18" s="4">
        <v>12</v>
      </c>
      <c r="AF18" s="3">
        <v>11</v>
      </c>
      <c r="AG18" s="3">
        <v>16</v>
      </c>
      <c r="AH18" s="3">
        <v>7</v>
      </c>
      <c r="AI18" s="4">
        <v>72</v>
      </c>
      <c r="AJ18" s="5">
        <v>302</v>
      </c>
      <c r="AK18" s="4">
        <v>380</v>
      </c>
      <c r="AL18" s="3">
        <v>5637</v>
      </c>
      <c r="AM18" s="3">
        <v>982</v>
      </c>
      <c r="AN18" s="5">
        <v>307</v>
      </c>
      <c r="AO18" s="4">
        <v>345</v>
      </c>
      <c r="AP18" s="3">
        <v>510</v>
      </c>
      <c r="AQ18" s="3">
        <v>3774</v>
      </c>
      <c r="AR18" s="3">
        <v>28</v>
      </c>
      <c r="AS18" s="3">
        <v>191</v>
      </c>
      <c r="AT18" s="3">
        <v>14</v>
      </c>
      <c r="AU18" s="5">
        <v>79</v>
      </c>
      <c r="AV18" s="4">
        <v>458</v>
      </c>
      <c r="AW18" s="3">
        <v>1863</v>
      </c>
      <c r="AX18" s="3">
        <v>12</v>
      </c>
      <c r="AY18" s="3">
        <v>100</v>
      </c>
      <c r="AZ18" s="4">
        <v>15</v>
      </c>
      <c r="BA18" s="5">
        <v>10</v>
      </c>
    </row>
    <row r="19" spans="1:53" x14ac:dyDescent="0.25">
      <c r="A19" s="4" t="s">
        <v>18</v>
      </c>
      <c r="B19" s="40">
        <v>2009</v>
      </c>
      <c r="C19" s="4">
        <v>4</v>
      </c>
      <c r="D19" s="3">
        <v>12</v>
      </c>
      <c r="E19" s="71" t="s">
        <v>96</v>
      </c>
      <c r="F19" s="3">
        <v>-8.4</v>
      </c>
      <c r="G19" s="3">
        <v>-2.5</v>
      </c>
      <c r="H19" s="5">
        <v>-5.9</v>
      </c>
      <c r="I19" s="4">
        <v>294</v>
      </c>
      <c r="J19" s="3">
        <v>4851</v>
      </c>
      <c r="K19" s="3">
        <v>1019</v>
      </c>
      <c r="L19" s="5">
        <v>256</v>
      </c>
      <c r="M19" s="4">
        <v>296</v>
      </c>
      <c r="N19" s="3">
        <v>536</v>
      </c>
      <c r="O19" s="3">
        <v>2922</v>
      </c>
      <c r="P19" s="3">
        <v>18</v>
      </c>
      <c r="Q19" s="3">
        <v>139</v>
      </c>
      <c r="R19" s="3">
        <v>70.8</v>
      </c>
      <c r="S19" s="3">
        <v>45</v>
      </c>
      <c r="T19" s="5">
        <v>261</v>
      </c>
      <c r="U19" s="4">
        <v>438</v>
      </c>
      <c r="V19" s="3">
        <v>1929</v>
      </c>
      <c r="W19" s="3">
        <v>8</v>
      </c>
      <c r="X19" s="3">
        <v>91</v>
      </c>
      <c r="Y19" s="4">
        <v>17</v>
      </c>
      <c r="Z19" s="5">
        <v>10</v>
      </c>
      <c r="AA19" s="4">
        <v>32</v>
      </c>
      <c r="AB19" s="5">
        <v>209</v>
      </c>
      <c r="AC19" s="4">
        <v>77</v>
      </c>
      <c r="AD19" s="5">
        <v>1666</v>
      </c>
      <c r="AE19" s="4">
        <v>17</v>
      </c>
      <c r="AF19" s="3">
        <v>17</v>
      </c>
      <c r="AG19" s="3">
        <v>12</v>
      </c>
      <c r="AH19" s="3">
        <v>8</v>
      </c>
      <c r="AI19" s="4">
        <v>97</v>
      </c>
      <c r="AJ19" s="5">
        <v>436</v>
      </c>
      <c r="AK19" s="4">
        <v>424</v>
      </c>
      <c r="AL19" s="3">
        <v>6211</v>
      </c>
      <c r="AM19" s="3">
        <v>1062</v>
      </c>
      <c r="AN19" s="5">
        <v>318</v>
      </c>
      <c r="AO19" s="4">
        <v>302</v>
      </c>
      <c r="AP19" s="3">
        <v>509</v>
      </c>
      <c r="AQ19" s="3">
        <v>3707</v>
      </c>
      <c r="AR19" s="3">
        <v>25</v>
      </c>
      <c r="AS19" s="3">
        <v>178</v>
      </c>
      <c r="AT19" s="3">
        <v>22</v>
      </c>
      <c r="AU19" s="5">
        <v>137</v>
      </c>
      <c r="AV19" s="4">
        <v>531</v>
      </c>
      <c r="AW19" s="3">
        <v>2504</v>
      </c>
      <c r="AX19" s="3">
        <v>18</v>
      </c>
      <c r="AY19" s="3">
        <v>122</v>
      </c>
      <c r="AZ19" s="4">
        <v>15</v>
      </c>
      <c r="BA19" s="5">
        <v>13</v>
      </c>
    </row>
    <row r="20" spans="1:53" x14ac:dyDescent="0.25">
      <c r="A20" s="4" t="s">
        <v>5</v>
      </c>
      <c r="B20" s="40">
        <v>2009</v>
      </c>
      <c r="C20" s="4">
        <v>7</v>
      </c>
      <c r="D20" s="3">
        <v>9</v>
      </c>
      <c r="E20" s="71" t="s">
        <v>96</v>
      </c>
      <c r="F20" s="3">
        <v>1.7</v>
      </c>
      <c r="G20" s="3">
        <v>2.9</v>
      </c>
      <c r="H20" s="5">
        <v>-1.2</v>
      </c>
      <c r="I20" s="4">
        <v>360</v>
      </c>
      <c r="J20" s="3">
        <v>5401</v>
      </c>
      <c r="K20" s="3">
        <v>1088</v>
      </c>
      <c r="L20" s="5">
        <v>333</v>
      </c>
      <c r="M20" s="4">
        <v>331</v>
      </c>
      <c r="N20" s="3">
        <v>545</v>
      </c>
      <c r="O20" s="3">
        <v>3170</v>
      </c>
      <c r="P20" s="3">
        <v>15</v>
      </c>
      <c r="Q20" s="3">
        <v>188</v>
      </c>
      <c r="R20" s="3">
        <v>73.3</v>
      </c>
      <c r="S20" s="3">
        <v>34</v>
      </c>
      <c r="T20" s="5">
        <v>226</v>
      </c>
      <c r="U20" s="4">
        <v>509</v>
      </c>
      <c r="V20" s="3">
        <v>2231</v>
      </c>
      <c r="W20" s="3">
        <v>22</v>
      </c>
      <c r="X20" s="3">
        <v>129</v>
      </c>
      <c r="Y20" s="4">
        <v>19</v>
      </c>
      <c r="Z20" s="5">
        <v>10</v>
      </c>
      <c r="AA20" s="4">
        <v>33</v>
      </c>
      <c r="AB20" s="5">
        <v>237</v>
      </c>
      <c r="AC20" s="4">
        <v>75</v>
      </c>
      <c r="AD20" s="5">
        <v>1739</v>
      </c>
      <c r="AE20" s="4">
        <v>17</v>
      </c>
      <c r="AF20" s="3">
        <v>16</v>
      </c>
      <c r="AG20" s="3">
        <v>11</v>
      </c>
      <c r="AH20" s="3">
        <v>9</v>
      </c>
      <c r="AI20" s="4">
        <v>75</v>
      </c>
      <c r="AJ20" s="5">
        <v>347</v>
      </c>
      <c r="AK20" s="4">
        <v>390</v>
      </c>
      <c r="AL20" s="3">
        <v>5589</v>
      </c>
      <c r="AM20" s="3">
        <v>968</v>
      </c>
      <c r="AN20" s="5">
        <v>297</v>
      </c>
      <c r="AO20" s="4">
        <v>281</v>
      </c>
      <c r="AP20" s="3">
        <v>489</v>
      </c>
      <c r="AQ20" s="3">
        <v>3754</v>
      </c>
      <c r="AR20" s="3">
        <v>23</v>
      </c>
      <c r="AS20" s="3">
        <v>184</v>
      </c>
      <c r="AT20" s="3">
        <v>44</v>
      </c>
      <c r="AU20" s="5">
        <v>242</v>
      </c>
      <c r="AV20" s="4">
        <v>435</v>
      </c>
      <c r="AW20" s="3">
        <v>1835</v>
      </c>
      <c r="AX20" s="3">
        <v>16</v>
      </c>
      <c r="AY20" s="3">
        <v>88</v>
      </c>
      <c r="AZ20" s="4">
        <v>15</v>
      </c>
      <c r="BA20" s="5">
        <v>6</v>
      </c>
    </row>
    <row r="21" spans="1:53" x14ac:dyDescent="0.25">
      <c r="A21" s="4" t="s">
        <v>23</v>
      </c>
      <c r="B21" s="40">
        <v>2009</v>
      </c>
      <c r="C21" s="4">
        <v>12</v>
      </c>
      <c r="D21" s="3">
        <v>4</v>
      </c>
      <c r="E21" s="71" t="s">
        <v>97</v>
      </c>
      <c r="F21" s="3">
        <v>7.2</v>
      </c>
      <c r="G21" s="3">
        <v>6.6</v>
      </c>
      <c r="H21" s="5">
        <v>0.6</v>
      </c>
      <c r="I21" s="4">
        <v>470</v>
      </c>
      <c r="J21" s="3">
        <v>6074</v>
      </c>
      <c r="K21" s="3">
        <v>1054</v>
      </c>
      <c r="L21" s="5">
        <v>343</v>
      </c>
      <c r="M21" s="4">
        <v>377</v>
      </c>
      <c r="N21" s="3">
        <v>553</v>
      </c>
      <c r="O21" s="3">
        <v>4156</v>
      </c>
      <c r="P21" s="3">
        <v>34</v>
      </c>
      <c r="Q21" s="3">
        <v>220</v>
      </c>
      <c r="R21" s="3">
        <v>107.3</v>
      </c>
      <c r="S21" s="3">
        <v>34</v>
      </c>
      <c r="T21" s="5">
        <v>247</v>
      </c>
      <c r="U21" s="4">
        <v>467</v>
      </c>
      <c r="V21" s="3">
        <v>1918</v>
      </c>
      <c r="W21" s="3">
        <v>19</v>
      </c>
      <c r="X21" s="3">
        <v>99</v>
      </c>
      <c r="Y21" s="4">
        <v>7</v>
      </c>
      <c r="Z21" s="5">
        <v>11</v>
      </c>
      <c r="AA21" s="4">
        <v>48</v>
      </c>
      <c r="AB21" s="5">
        <v>455</v>
      </c>
      <c r="AC21" s="4">
        <v>56</v>
      </c>
      <c r="AD21" s="5">
        <v>1297</v>
      </c>
      <c r="AE21" s="4">
        <v>17</v>
      </c>
      <c r="AF21" s="3">
        <v>16</v>
      </c>
      <c r="AG21" s="3">
        <v>11</v>
      </c>
      <c r="AH21" s="3">
        <v>10</v>
      </c>
      <c r="AI21" s="4">
        <v>73</v>
      </c>
      <c r="AJ21" s="5">
        <v>320</v>
      </c>
      <c r="AK21" s="4">
        <v>312</v>
      </c>
      <c r="AL21" s="3">
        <v>4888</v>
      </c>
      <c r="AM21" s="3">
        <v>940</v>
      </c>
      <c r="AN21" s="5">
        <v>271</v>
      </c>
      <c r="AO21" s="4">
        <v>341</v>
      </c>
      <c r="AP21" s="3">
        <v>535</v>
      </c>
      <c r="AQ21" s="3">
        <v>3494</v>
      </c>
      <c r="AR21" s="3">
        <v>26</v>
      </c>
      <c r="AS21" s="3">
        <v>183</v>
      </c>
      <c r="AT21" s="3">
        <v>48</v>
      </c>
      <c r="AU21" s="5">
        <v>318</v>
      </c>
      <c r="AV21" s="4">
        <v>357</v>
      </c>
      <c r="AW21" s="3">
        <v>1394</v>
      </c>
      <c r="AX21" s="3">
        <v>5</v>
      </c>
      <c r="AY21" s="3">
        <v>63</v>
      </c>
      <c r="AZ21" s="4">
        <v>11</v>
      </c>
      <c r="BA21" s="5">
        <v>13</v>
      </c>
    </row>
    <row r="22" spans="1:53" x14ac:dyDescent="0.25">
      <c r="A22" s="4" t="s">
        <v>3</v>
      </c>
      <c r="B22" s="40">
        <v>2009</v>
      </c>
      <c r="C22" s="4">
        <v>10</v>
      </c>
      <c r="D22" s="3">
        <v>6</v>
      </c>
      <c r="E22" s="71" t="s">
        <v>97</v>
      </c>
      <c r="F22" s="3">
        <v>11.2</v>
      </c>
      <c r="G22" s="3">
        <v>6.7</v>
      </c>
      <c r="H22" s="5">
        <v>4.5</v>
      </c>
      <c r="I22" s="4">
        <v>427</v>
      </c>
      <c r="J22" s="3">
        <v>6357</v>
      </c>
      <c r="K22" s="3">
        <v>1076</v>
      </c>
      <c r="L22" s="5">
        <v>373</v>
      </c>
      <c r="M22" s="4">
        <v>390</v>
      </c>
      <c r="N22" s="3">
        <v>592</v>
      </c>
      <c r="O22" s="3">
        <v>4436</v>
      </c>
      <c r="P22" s="3">
        <v>28</v>
      </c>
      <c r="Q22" s="3">
        <v>222</v>
      </c>
      <c r="R22" s="3">
        <v>95.6</v>
      </c>
      <c r="S22" s="3">
        <v>18</v>
      </c>
      <c r="T22" s="5">
        <v>104</v>
      </c>
      <c r="U22" s="4">
        <v>466</v>
      </c>
      <c r="V22" s="3">
        <v>1921</v>
      </c>
      <c r="W22" s="3">
        <v>19</v>
      </c>
      <c r="X22" s="3">
        <v>114</v>
      </c>
      <c r="Y22" s="4">
        <v>13</v>
      </c>
      <c r="Z22" s="5">
        <v>9</v>
      </c>
      <c r="AA22" s="4">
        <v>38</v>
      </c>
      <c r="AB22" s="5">
        <v>432</v>
      </c>
      <c r="AC22" s="4">
        <v>54</v>
      </c>
      <c r="AD22" s="5">
        <v>1226</v>
      </c>
      <c r="AE22" s="4">
        <v>20</v>
      </c>
      <c r="AF22" s="3">
        <v>19</v>
      </c>
      <c r="AG22" s="3">
        <v>11</v>
      </c>
      <c r="AH22" s="3">
        <v>7</v>
      </c>
      <c r="AI22" s="4">
        <v>57</v>
      </c>
      <c r="AJ22" s="5">
        <v>222</v>
      </c>
      <c r="AK22" s="4">
        <v>285</v>
      </c>
      <c r="AL22" s="3">
        <v>5123</v>
      </c>
      <c r="AM22" s="3">
        <v>941</v>
      </c>
      <c r="AN22" s="5">
        <v>289</v>
      </c>
      <c r="AO22" s="4">
        <v>300</v>
      </c>
      <c r="AP22" s="3">
        <v>512</v>
      </c>
      <c r="AQ22" s="3">
        <v>3355</v>
      </c>
      <c r="AR22" s="3">
        <v>25</v>
      </c>
      <c r="AS22" s="3">
        <v>193</v>
      </c>
      <c r="AT22" s="3">
        <v>31</v>
      </c>
      <c r="AU22" s="5">
        <v>229</v>
      </c>
      <c r="AV22" s="4">
        <v>398</v>
      </c>
      <c r="AW22" s="3">
        <v>1768</v>
      </c>
      <c r="AX22" s="3">
        <v>6</v>
      </c>
      <c r="AY22" s="3">
        <v>80</v>
      </c>
      <c r="AZ22" s="4">
        <v>18</v>
      </c>
      <c r="BA22" s="5">
        <v>10</v>
      </c>
    </row>
    <row r="23" spans="1:53" x14ac:dyDescent="0.25">
      <c r="A23" s="4" t="s">
        <v>27</v>
      </c>
      <c r="B23" s="40">
        <v>2009</v>
      </c>
      <c r="C23" s="4">
        <v>13</v>
      </c>
      <c r="D23" s="3">
        <v>3</v>
      </c>
      <c r="E23" s="71" t="s">
        <v>97</v>
      </c>
      <c r="F23" s="3">
        <v>10.8</v>
      </c>
      <c r="G23" s="3">
        <v>11.2</v>
      </c>
      <c r="H23" s="5">
        <v>-0.5</v>
      </c>
      <c r="I23" s="4">
        <v>510</v>
      </c>
      <c r="J23" s="3">
        <v>6461</v>
      </c>
      <c r="K23" s="3">
        <v>1032</v>
      </c>
      <c r="L23" s="5">
        <v>348</v>
      </c>
      <c r="M23" s="4">
        <v>378</v>
      </c>
      <c r="N23" s="3">
        <v>544</v>
      </c>
      <c r="O23" s="3">
        <v>4355</v>
      </c>
      <c r="P23" s="3">
        <v>34</v>
      </c>
      <c r="Q23" s="3">
        <v>215</v>
      </c>
      <c r="R23" s="3">
        <v>106</v>
      </c>
      <c r="S23" s="3">
        <v>20</v>
      </c>
      <c r="T23" s="5">
        <v>135</v>
      </c>
      <c r="U23" s="4">
        <v>468</v>
      </c>
      <c r="V23" s="3">
        <v>2106</v>
      </c>
      <c r="W23" s="3">
        <v>21</v>
      </c>
      <c r="X23" s="3">
        <v>115</v>
      </c>
      <c r="Y23" s="4">
        <v>12</v>
      </c>
      <c r="Z23" s="5">
        <v>16</v>
      </c>
      <c r="AA23" s="4">
        <v>33</v>
      </c>
      <c r="AB23" s="5">
        <v>152</v>
      </c>
      <c r="AC23" s="4">
        <v>57</v>
      </c>
      <c r="AD23" s="5">
        <v>1393</v>
      </c>
      <c r="AE23" s="4">
        <v>24</v>
      </c>
      <c r="AF23" s="3">
        <v>20</v>
      </c>
      <c r="AG23" s="3">
        <v>4</v>
      </c>
      <c r="AH23" s="3">
        <v>2</v>
      </c>
      <c r="AI23" s="4">
        <v>58</v>
      </c>
      <c r="AJ23" s="5">
        <v>253</v>
      </c>
      <c r="AK23" s="4">
        <v>341</v>
      </c>
      <c r="AL23" s="3">
        <v>5724</v>
      </c>
      <c r="AM23" s="3">
        <v>1044</v>
      </c>
      <c r="AN23" s="5">
        <v>310</v>
      </c>
      <c r="AO23" s="4">
        <v>330</v>
      </c>
      <c r="AP23" s="3">
        <v>574</v>
      </c>
      <c r="AQ23" s="3">
        <v>3769</v>
      </c>
      <c r="AR23" s="3">
        <v>15</v>
      </c>
      <c r="AS23" s="3">
        <v>175</v>
      </c>
      <c r="AT23" s="3">
        <v>35</v>
      </c>
      <c r="AU23" s="5">
        <v>192</v>
      </c>
      <c r="AV23" s="4">
        <v>435</v>
      </c>
      <c r="AW23" s="3">
        <v>1955</v>
      </c>
      <c r="AX23" s="3">
        <v>19</v>
      </c>
      <c r="AY23" s="3">
        <v>111</v>
      </c>
      <c r="AZ23" s="4">
        <v>26</v>
      </c>
      <c r="BA23" s="5">
        <v>13</v>
      </c>
    </row>
    <row r="24" spans="1:53" x14ac:dyDescent="0.25">
      <c r="A24" s="4" t="s">
        <v>21</v>
      </c>
      <c r="B24" s="40">
        <v>2009</v>
      </c>
      <c r="C24" s="4">
        <v>8</v>
      </c>
      <c r="D24" s="3">
        <v>8</v>
      </c>
      <c r="E24" s="71" t="s">
        <v>96</v>
      </c>
      <c r="F24" s="3">
        <v>0.1</v>
      </c>
      <c r="G24" s="3">
        <v>4.5999999999999996</v>
      </c>
      <c r="H24" s="5">
        <v>-4.5</v>
      </c>
      <c r="I24" s="4">
        <v>402</v>
      </c>
      <c r="J24" s="3">
        <v>5856</v>
      </c>
      <c r="K24" s="3">
        <v>1017</v>
      </c>
      <c r="L24" s="5">
        <v>323</v>
      </c>
      <c r="M24" s="4">
        <v>338</v>
      </c>
      <c r="N24" s="3">
        <v>542</v>
      </c>
      <c r="O24" s="3">
        <v>4019</v>
      </c>
      <c r="P24" s="3">
        <v>28</v>
      </c>
      <c r="Q24" s="3">
        <v>194</v>
      </c>
      <c r="R24" s="3">
        <v>93.2</v>
      </c>
      <c r="S24" s="3">
        <v>32</v>
      </c>
      <c r="T24" s="5">
        <v>227</v>
      </c>
      <c r="U24" s="4">
        <v>443</v>
      </c>
      <c r="V24" s="3">
        <v>1837</v>
      </c>
      <c r="W24" s="3">
        <v>14</v>
      </c>
      <c r="X24" s="3">
        <v>103</v>
      </c>
      <c r="Y24" s="4">
        <v>14</v>
      </c>
      <c r="Z24" s="5">
        <v>17</v>
      </c>
      <c r="AA24" s="4">
        <v>36</v>
      </c>
      <c r="AB24" s="5">
        <v>393</v>
      </c>
      <c r="AC24" s="4">
        <v>71</v>
      </c>
      <c r="AD24" s="5">
        <v>1482</v>
      </c>
      <c r="AE24" s="4">
        <v>25</v>
      </c>
      <c r="AF24" s="3">
        <v>21</v>
      </c>
      <c r="AG24" s="3">
        <v>7</v>
      </c>
      <c r="AH24" s="3">
        <v>6</v>
      </c>
      <c r="AI24" s="4">
        <v>64</v>
      </c>
      <c r="AJ24" s="5">
        <v>260</v>
      </c>
      <c r="AK24" s="4">
        <v>427</v>
      </c>
      <c r="AL24" s="3">
        <v>5198</v>
      </c>
      <c r="AM24" s="3">
        <v>953</v>
      </c>
      <c r="AN24" s="5">
        <v>308</v>
      </c>
      <c r="AO24" s="4">
        <v>314</v>
      </c>
      <c r="AP24" s="3">
        <v>498</v>
      </c>
      <c r="AQ24" s="3">
        <v>3425</v>
      </c>
      <c r="AR24" s="3">
        <v>31</v>
      </c>
      <c r="AS24" s="3">
        <v>182</v>
      </c>
      <c r="AT24" s="3">
        <v>32</v>
      </c>
      <c r="AU24" s="5">
        <v>237</v>
      </c>
      <c r="AV24" s="4">
        <v>423</v>
      </c>
      <c r="AW24" s="3">
        <v>1773</v>
      </c>
      <c r="AX24" s="3">
        <v>21</v>
      </c>
      <c r="AY24" s="3">
        <v>103</v>
      </c>
      <c r="AZ24" s="4">
        <v>13</v>
      </c>
      <c r="BA24" s="5">
        <v>11</v>
      </c>
    </row>
    <row r="25" spans="1:53" x14ac:dyDescent="0.25">
      <c r="A25" s="4" t="s">
        <v>4</v>
      </c>
      <c r="B25" s="40">
        <v>2009</v>
      </c>
      <c r="C25" s="4">
        <v>9</v>
      </c>
      <c r="D25" s="3">
        <v>7</v>
      </c>
      <c r="E25" s="71" t="s">
        <v>97</v>
      </c>
      <c r="F25" s="3">
        <v>8.6</v>
      </c>
      <c r="G25" s="3">
        <v>1.1000000000000001</v>
      </c>
      <c r="H25" s="5">
        <v>7.5</v>
      </c>
      <c r="I25" s="4">
        <v>348</v>
      </c>
      <c r="J25" s="3">
        <v>5136</v>
      </c>
      <c r="K25" s="3">
        <v>1030</v>
      </c>
      <c r="L25" s="5">
        <v>280</v>
      </c>
      <c r="M25" s="4">
        <v>210</v>
      </c>
      <c r="N25" s="3">
        <v>393</v>
      </c>
      <c r="O25" s="3">
        <v>2380</v>
      </c>
      <c r="P25" s="3">
        <v>12</v>
      </c>
      <c r="Q25" s="3">
        <v>131</v>
      </c>
      <c r="R25" s="3">
        <v>62</v>
      </c>
      <c r="S25" s="3">
        <v>30</v>
      </c>
      <c r="T25" s="5">
        <v>216</v>
      </c>
      <c r="U25" s="4">
        <v>607</v>
      </c>
      <c r="V25" s="3">
        <v>2756</v>
      </c>
      <c r="W25" s="3">
        <v>21</v>
      </c>
      <c r="X25" s="3">
        <v>132</v>
      </c>
      <c r="Y25" s="4">
        <v>21</v>
      </c>
      <c r="Z25" s="5">
        <v>9</v>
      </c>
      <c r="AA25" s="4">
        <v>50</v>
      </c>
      <c r="AB25" s="5">
        <v>457</v>
      </c>
      <c r="AC25" s="4">
        <v>44</v>
      </c>
      <c r="AD25" s="5">
        <v>1074</v>
      </c>
      <c r="AE25" s="4">
        <v>21</v>
      </c>
      <c r="AF25" s="3">
        <v>18</v>
      </c>
      <c r="AG25" s="3">
        <v>15</v>
      </c>
      <c r="AH25" s="3">
        <v>12</v>
      </c>
      <c r="AI25" s="4">
        <v>80</v>
      </c>
      <c r="AJ25" s="5">
        <v>336</v>
      </c>
      <c r="AK25" s="4">
        <v>236</v>
      </c>
      <c r="AL25" s="3">
        <v>4037</v>
      </c>
      <c r="AM25" s="3">
        <v>953</v>
      </c>
      <c r="AN25" s="5">
        <v>237</v>
      </c>
      <c r="AO25" s="4">
        <v>259</v>
      </c>
      <c r="AP25" s="3">
        <v>501</v>
      </c>
      <c r="AQ25" s="3">
        <v>2459</v>
      </c>
      <c r="AR25" s="3">
        <v>8</v>
      </c>
      <c r="AS25" s="3">
        <v>128</v>
      </c>
      <c r="AT25" s="3">
        <v>32</v>
      </c>
      <c r="AU25" s="5">
        <v>245</v>
      </c>
      <c r="AV25" s="4">
        <v>420</v>
      </c>
      <c r="AW25" s="3">
        <v>1578</v>
      </c>
      <c r="AX25" s="3">
        <v>11</v>
      </c>
      <c r="AY25" s="3">
        <v>87</v>
      </c>
      <c r="AZ25" s="4">
        <v>17</v>
      </c>
      <c r="BA25" s="5">
        <v>14</v>
      </c>
    </row>
    <row r="26" spans="1:53" x14ac:dyDescent="0.25">
      <c r="A26" s="4" t="s">
        <v>17</v>
      </c>
      <c r="B26" s="40">
        <v>2009</v>
      </c>
      <c r="C26" s="4">
        <v>5</v>
      </c>
      <c r="D26" s="3">
        <v>11</v>
      </c>
      <c r="E26" s="71" t="s">
        <v>96</v>
      </c>
      <c r="F26" s="3">
        <v>-10.3</v>
      </c>
      <c r="G26" s="3">
        <v>-8.6999999999999993</v>
      </c>
      <c r="H26" s="5">
        <v>-1.6</v>
      </c>
      <c r="I26" s="4">
        <v>197</v>
      </c>
      <c r="J26" s="3">
        <v>4258</v>
      </c>
      <c r="K26" s="3">
        <v>944</v>
      </c>
      <c r="L26" s="5">
        <v>234</v>
      </c>
      <c r="M26" s="4">
        <v>255</v>
      </c>
      <c r="N26" s="3">
        <v>485</v>
      </c>
      <c r="O26" s="3">
        <v>2557</v>
      </c>
      <c r="P26" s="3">
        <v>10</v>
      </c>
      <c r="Q26" s="3">
        <v>131</v>
      </c>
      <c r="R26" s="3">
        <v>62</v>
      </c>
      <c r="S26" s="3">
        <v>49</v>
      </c>
      <c r="T26" s="5">
        <v>318</v>
      </c>
      <c r="U26" s="4">
        <v>410</v>
      </c>
      <c r="V26" s="3">
        <v>1701</v>
      </c>
      <c r="W26" s="3">
        <v>7</v>
      </c>
      <c r="X26" s="3">
        <v>81</v>
      </c>
      <c r="Y26" s="4">
        <v>18</v>
      </c>
      <c r="Z26" s="5">
        <v>15</v>
      </c>
      <c r="AA26" s="4">
        <v>36</v>
      </c>
      <c r="AB26" s="5">
        <v>177</v>
      </c>
      <c r="AC26" s="4">
        <v>66</v>
      </c>
      <c r="AD26" s="5">
        <v>1199</v>
      </c>
      <c r="AE26" s="4">
        <v>11</v>
      </c>
      <c r="AF26" s="3">
        <v>11</v>
      </c>
      <c r="AG26" s="3">
        <v>18</v>
      </c>
      <c r="AH26" s="3">
        <v>15</v>
      </c>
      <c r="AI26" s="4">
        <v>96</v>
      </c>
      <c r="AJ26" s="5">
        <v>491</v>
      </c>
      <c r="AK26" s="4">
        <v>379</v>
      </c>
      <c r="AL26" s="3">
        <v>5791</v>
      </c>
      <c r="AM26" s="3">
        <v>1023</v>
      </c>
      <c r="AN26" s="5">
        <v>314</v>
      </c>
      <c r="AO26" s="4">
        <v>259</v>
      </c>
      <c r="AP26" s="3">
        <v>438</v>
      </c>
      <c r="AQ26" s="3">
        <v>3303</v>
      </c>
      <c r="AR26" s="3">
        <v>16</v>
      </c>
      <c r="AS26" s="3">
        <v>158</v>
      </c>
      <c r="AT26" s="3">
        <v>37</v>
      </c>
      <c r="AU26" s="5">
        <v>228</v>
      </c>
      <c r="AV26" s="4">
        <v>548</v>
      </c>
      <c r="AW26" s="3">
        <v>2488</v>
      </c>
      <c r="AX26" s="3">
        <v>24</v>
      </c>
      <c r="AY26" s="3">
        <v>126</v>
      </c>
      <c r="AZ26" s="4">
        <v>8</v>
      </c>
      <c r="BA26" s="5">
        <v>12</v>
      </c>
    </row>
    <row r="27" spans="1:53" x14ac:dyDescent="0.25">
      <c r="A27" s="4" t="s">
        <v>20</v>
      </c>
      <c r="B27" s="40">
        <v>2009</v>
      </c>
      <c r="C27" s="4">
        <v>11</v>
      </c>
      <c r="D27" s="3">
        <v>5</v>
      </c>
      <c r="E27" s="71" t="s">
        <v>97</v>
      </c>
      <c r="F27" s="3">
        <v>6</v>
      </c>
      <c r="G27" s="3">
        <v>5.8</v>
      </c>
      <c r="H27" s="5">
        <v>0.2</v>
      </c>
      <c r="I27" s="4">
        <v>429</v>
      </c>
      <c r="J27" s="3">
        <v>5726</v>
      </c>
      <c r="K27" s="3">
        <v>975</v>
      </c>
      <c r="L27" s="5">
        <v>290</v>
      </c>
      <c r="M27" s="4">
        <v>335</v>
      </c>
      <c r="N27" s="3">
        <v>553</v>
      </c>
      <c r="O27" s="3">
        <v>4089</v>
      </c>
      <c r="P27" s="3">
        <v>27</v>
      </c>
      <c r="Q27" s="3">
        <v>182</v>
      </c>
      <c r="R27" s="3">
        <v>92</v>
      </c>
      <c r="S27" s="3">
        <v>38</v>
      </c>
      <c r="T27" s="5">
        <v>291</v>
      </c>
      <c r="U27" s="4">
        <v>384</v>
      </c>
      <c r="V27" s="3">
        <v>1637</v>
      </c>
      <c r="W27" s="3">
        <v>14</v>
      </c>
      <c r="X27" s="3">
        <v>87</v>
      </c>
      <c r="Y27" s="4">
        <v>13</v>
      </c>
      <c r="Z27" s="5">
        <v>10</v>
      </c>
      <c r="AA27" s="4">
        <v>35</v>
      </c>
      <c r="AB27" s="5">
        <v>471</v>
      </c>
      <c r="AC27" s="4">
        <v>58</v>
      </c>
      <c r="AD27" s="5">
        <v>1191</v>
      </c>
      <c r="AE27" s="4">
        <v>21</v>
      </c>
      <c r="AF27" s="3">
        <v>20</v>
      </c>
      <c r="AG27" s="3">
        <v>16</v>
      </c>
      <c r="AH27" s="3">
        <v>12</v>
      </c>
      <c r="AI27" s="4">
        <v>76</v>
      </c>
      <c r="AJ27" s="5">
        <v>322</v>
      </c>
      <c r="AK27" s="4">
        <v>337</v>
      </c>
      <c r="AL27" s="3">
        <v>5137</v>
      </c>
      <c r="AM27" s="3">
        <v>1037</v>
      </c>
      <c r="AN27" s="5">
        <v>295</v>
      </c>
      <c r="AO27" s="4">
        <v>354</v>
      </c>
      <c r="AP27" s="3">
        <v>580</v>
      </c>
      <c r="AQ27" s="3">
        <v>3462</v>
      </c>
      <c r="AR27" s="3">
        <v>27</v>
      </c>
      <c r="AS27" s="3">
        <v>179</v>
      </c>
      <c r="AT27" s="3">
        <v>44</v>
      </c>
      <c r="AU27" s="5">
        <v>316</v>
      </c>
      <c r="AV27" s="4">
        <v>413</v>
      </c>
      <c r="AW27" s="3">
        <v>1675</v>
      </c>
      <c r="AX27" s="3">
        <v>11</v>
      </c>
      <c r="AY27" s="3">
        <v>81</v>
      </c>
      <c r="AZ27" s="4">
        <v>25</v>
      </c>
      <c r="BA27" s="5">
        <v>13</v>
      </c>
    </row>
    <row r="28" spans="1:53" x14ac:dyDescent="0.25">
      <c r="A28" s="4" t="s">
        <v>9</v>
      </c>
      <c r="B28" s="40">
        <v>2009</v>
      </c>
      <c r="C28" s="4">
        <v>9</v>
      </c>
      <c r="D28" s="3">
        <v>7</v>
      </c>
      <c r="E28" s="71" t="s">
        <v>96</v>
      </c>
      <c r="F28" s="3">
        <v>1.7</v>
      </c>
      <c r="G28" s="3">
        <v>1</v>
      </c>
      <c r="H28" s="5">
        <v>0.7</v>
      </c>
      <c r="I28" s="4">
        <v>368</v>
      </c>
      <c r="J28" s="3">
        <v>5941</v>
      </c>
      <c r="K28" s="3">
        <v>1014</v>
      </c>
      <c r="L28" s="5">
        <v>331</v>
      </c>
      <c r="M28" s="4">
        <v>351</v>
      </c>
      <c r="N28" s="3">
        <v>536</v>
      </c>
      <c r="O28" s="3">
        <v>4148</v>
      </c>
      <c r="P28" s="3">
        <v>28</v>
      </c>
      <c r="Q28" s="3">
        <v>210</v>
      </c>
      <c r="R28" s="3">
        <v>98.1</v>
      </c>
      <c r="S28" s="3">
        <v>50</v>
      </c>
      <c r="T28" s="5">
        <v>348</v>
      </c>
      <c r="U28" s="4">
        <v>428</v>
      </c>
      <c r="V28" s="3">
        <v>1793</v>
      </c>
      <c r="W28" s="3">
        <v>10</v>
      </c>
      <c r="X28" s="3">
        <v>96</v>
      </c>
      <c r="Y28" s="4">
        <v>14</v>
      </c>
      <c r="Z28" s="5">
        <v>11</v>
      </c>
      <c r="AA28" s="4">
        <v>36</v>
      </c>
      <c r="AB28" s="5">
        <v>290</v>
      </c>
      <c r="AC28" s="4">
        <v>66</v>
      </c>
      <c r="AD28" s="5">
        <v>1581</v>
      </c>
      <c r="AE28" s="4">
        <v>24</v>
      </c>
      <c r="AF28" s="3">
        <v>23</v>
      </c>
      <c r="AG28" s="3">
        <v>7</v>
      </c>
      <c r="AH28" s="3">
        <v>4</v>
      </c>
      <c r="AI28" s="4">
        <v>72</v>
      </c>
      <c r="AJ28" s="5">
        <v>307</v>
      </c>
      <c r="AK28" s="4">
        <v>324</v>
      </c>
      <c r="AL28" s="3">
        <v>4885</v>
      </c>
      <c r="AM28" s="3">
        <v>967</v>
      </c>
      <c r="AN28" s="5">
        <v>274</v>
      </c>
      <c r="AO28" s="4">
        <v>319</v>
      </c>
      <c r="AP28" s="3">
        <v>548</v>
      </c>
      <c r="AQ28" s="3">
        <v>3447</v>
      </c>
      <c r="AR28" s="3">
        <v>22</v>
      </c>
      <c r="AS28" s="3">
        <v>186</v>
      </c>
      <c r="AT28" s="3">
        <v>47</v>
      </c>
      <c r="AU28" s="5">
        <v>314</v>
      </c>
      <c r="AV28" s="4">
        <v>372</v>
      </c>
      <c r="AW28" s="3">
        <v>1438</v>
      </c>
      <c r="AX28" s="3">
        <v>7</v>
      </c>
      <c r="AY28" s="3">
        <v>70</v>
      </c>
      <c r="AZ28" s="4">
        <v>12</v>
      </c>
      <c r="BA28" s="5">
        <v>10</v>
      </c>
    </row>
    <row r="29" spans="1:53" x14ac:dyDescent="0.25">
      <c r="A29" s="4" t="s">
        <v>15</v>
      </c>
      <c r="B29" s="40">
        <v>2009</v>
      </c>
      <c r="C29" s="4">
        <v>13</v>
      </c>
      <c r="D29" s="3">
        <v>3</v>
      </c>
      <c r="E29" s="71" t="s">
        <v>97</v>
      </c>
      <c r="F29" s="3">
        <v>6.6</v>
      </c>
      <c r="G29" s="3">
        <v>6.4</v>
      </c>
      <c r="H29" s="5">
        <v>0.2</v>
      </c>
      <c r="I29" s="4">
        <v>454</v>
      </c>
      <c r="J29" s="3">
        <v>5761</v>
      </c>
      <c r="K29" s="3">
        <v>972</v>
      </c>
      <c r="L29" s="5">
        <v>330</v>
      </c>
      <c r="M29" s="4">
        <v>338</v>
      </c>
      <c r="N29" s="3">
        <v>519</v>
      </c>
      <c r="O29" s="3">
        <v>4338</v>
      </c>
      <c r="P29" s="3">
        <v>29</v>
      </c>
      <c r="Q29" s="3">
        <v>222</v>
      </c>
      <c r="R29" s="3">
        <v>103.1</v>
      </c>
      <c r="S29" s="3">
        <v>26</v>
      </c>
      <c r="T29" s="5">
        <v>168</v>
      </c>
      <c r="U29" s="4">
        <v>427</v>
      </c>
      <c r="V29" s="3">
        <v>1423</v>
      </c>
      <c r="W29" s="3">
        <v>17</v>
      </c>
      <c r="X29" s="3">
        <v>80</v>
      </c>
      <c r="Y29" s="4">
        <v>10</v>
      </c>
      <c r="Z29" s="5">
        <v>7</v>
      </c>
      <c r="AA29" s="4">
        <v>26</v>
      </c>
      <c r="AB29" s="5">
        <v>183</v>
      </c>
      <c r="AC29" s="4">
        <v>63</v>
      </c>
      <c r="AD29" s="5">
        <v>1442</v>
      </c>
      <c r="AE29" s="4">
        <v>23</v>
      </c>
      <c r="AF29" s="3">
        <v>23</v>
      </c>
      <c r="AG29" s="3">
        <v>12</v>
      </c>
      <c r="AH29" s="3">
        <v>9</v>
      </c>
      <c r="AI29" s="4">
        <v>52</v>
      </c>
      <c r="AJ29" s="5">
        <v>234</v>
      </c>
      <c r="AK29" s="4">
        <v>320</v>
      </c>
      <c r="AL29" s="3">
        <v>5232</v>
      </c>
      <c r="AM29" s="3">
        <v>991</v>
      </c>
      <c r="AN29" s="5">
        <v>309</v>
      </c>
      <c r="AO29" s="4">
        <v>326</v>
      </c>
      <c r="AP29" s="3">
        <v>534</v>
      </c>
      <c r="AQ29" s="3">
        <v>3348</v>
      </c>
      <c r="AR29" s="3">
        <v>23</v>
      </c>
      <c r="AS29" s="3">
        <v>177</v>
      </c>
      <c r="AT29" s="3">
        <v>35</v>
      </c>
      <c r="AU29" s="5">
        <v>221</v>
      </c>
      <c r="AV29" s="4">
        <v>422</v>
      </c>
      <c r="AW29" s="3">
        <v>1884</v>
      </c>
      <c r="AX29" s="3">
        <v>10</v>
      </c>
      <c r="AY29" s="3">
        <v>112</v>
      </c>
      <c r="AZ29" s="4">
        <v>14</v>
      </c>
      <c r="BA29" s="5">
        <v>11</v>
      </c>
    </row>
    <row r="30" spans="1:53" x14ac:dyDescent="0.25">
      <c r="A30" s="4" t="s">
        <v>32</v>
      </c>
      <c r="B30" s="40">
        <v>2009</v>
      </c>
      <c r="C30" s="4">
        <v>8</v>
      </c>
      <c r="D30" s="3">
        <v>8</v>
      </c>
      <c r="E30" s="71" t="s">
        <v>96</v>
      </c>
      <c r="F30" s="3">
        <v>0.1</v>
      </c>
      <c r="G30" s="3">
        <v>-2.9</v>
      </c>
      <c r="H30" s="5">
        <v>3</v>
      </c>
      <c r="I30" s="4">
        <v>330</v>
      </c>
      <c r="J30" s="3">
        <v>4652</v>
      </c>
      <c r="K30" s="3">
        <v>939</v>
      </c>
      <c r="L30" s="5">
        <v>238</v>
      </c>
      <c r="M30" s="4">
        <v>312</v>
      </c>
      <c r="N30" s="3">
        <v>528</v>
      </c>
      <c r="O30" s="3">
        <v>3052</v>
      </c>
      <c r="P30" s="3">
        <v>23</v>
      </c>
      <c r="Q30" s="3">
        <v>137</v>
      </c>
      <c r="R30" s="3">
        <v>80.8</v>
      </c>
      <c r="S30" s="3">
        <v>40</v>
      </c>
      <c r="T30" s="5">
        <v>241</v>
      </c>
      <c r="U30" s="4">
        <v>371</v>
      </c>
      <c r="V30" s="3">
        <v>1600</v>
      </c>
      <c r="W30" s="3">
        <v>12</v>
      </c>
      <c r="X30" s="3">
        <v>77</v>
      </c>
      <c r="Y30" s="4">
        <v>14</v>
      </c>
      <c r="Z30" s="5">
        <v>10</v>
      </c>
      <c r="AA30" s="4">
        <v>49</v>
      </c>
      <c r="AB30" s="5">
        <v>216</v>
      </c>
      <c r="AC30" s="4">
        <v>52</v>
      </c>
      <c r="AD30" s="5">
        <v>1135</v>
      </c>
      <c r="AE30" s="4">
        <v>15</v>
      </c>
      <c r="AF30" s="3">
        <v>13</v>
      </c>
      <c r="AG30" s="3">
        <v>9</v>
      </c>
      <c r="AH30" s="3">
        <v>6</v>
      </c>
      <c r="AI30" s="4">
        <v>99</v>
      </c>
      <c r="AJ30" s="5">
        <v>471</v>
      </c>
      <c r="AK30" s="4">
        <v>281</v>
      </c>
      <c r="AL30" s="3">
        <v>5222</v>
      </c>
      <c r="AM30" s="3">
        <v>1050</v>
      </c>
      <c r="AN30" s="5">
        <v>278</v>
      </c>
      <c r="AO30" s="4">
        <v>352</v>
      </c>
      <c r="AP30" s="3">
        <v>580</v>
      </c>
      <c r="AQ30" s="3">
        <v>3670</v>
      </c>
      <c r="AR30" s="3">
        <v>14</v>
      </c>
      <c r="AS30" s="3">
        <v>176</v>
      </c>
      <c r="AT30" s="3">
        <v>44</v>
      </c>
      <c r="AU30" s="5">
        <v>293</v>
      </c>
      <c r="AV30" s="4">
        <v>426</v>
      </c>
      <c r="AW30" s="3">
        <v>1552</v>
      </c>
      <c r="AX30" s="3">
        <v>12</v>
      </c>
      <c r="AY30" s="3">
        <v>77</v>
      </c>
      <c r="AZ30" s="4">
        <v>18</v>
      </c>
      <c r="BA30" s="5">
        <v>15</v>
      </c>
    </row>
    <row r="31" spans="1:53" x14ac:dyDescent="0.25">
      <c r="A31" s="4" t="s">
        <v>33</v>
      </c>
      <c r="B31" s="40">
        <v>2009</v>
      </c>
      <c r="C31" s="4">
        <v>5</v>
      </c>
      <c r="D31" s="3">
        <v>11</v>
      </c>
      <c r="E31" s="71" t="s">
        <v>96</v>
      </c>
      <c r="F31" s="3">
        <v>-9.3000000000000007</v>
      </c>
      <c r="G31" s="3">
        <v>-5</v>
      </c>
      <c r="H31" s="5">
        <v>-4.4000000000000004</v>
      </c>
      <c r="I31" s="4">
        <v>280</v>
      </c>
      <c r="J31" s="3">
        <v>5069</v>
      </c>
      <c r="K31" s="3">
        <v>1045</v>
      </c>
      <c r="L31" s="5">
        <v>297</v>
      </c>
      <c r="M31" s="4">
        <v>372</v>
      </c>
      <c r="N31" s="3">
        <v>609</v>
      </c>
      <c r="O31" s="3">
        <v>3503</v>
      </c>
      <c r="P31" s="3">
        <v>20</v>
      </c>
      <c r="Q31" s="3">
        <v>184</v>
      </c>
      <c r="R31" s="3">
        <v>76.7</v>
      </c>
      <c r="S31" s="3">
        <v>41</v>
      </c>
      <c r="T31" s="5">
        <v>268</v>
      </c>
      <c r="U31" s="4">
        <v>395</v>
      </c>
      <c r="V31" s="3">
        <v>1566</v>
      </c>
      <c r="W31" s="3">
        <v>7</v>
      </c>
      <c r="X31" s="3">
        <v>80</v>
      </c>
      <c r="Y31" s="4">
        <v>19</v>
      </c>
      <c r="Z31" s="5">
        <v>12</v>
      </c>
      <c r="AA31" s="4">
        <v>46</v>
      </c>
      <c r="AB31" s="5">
        <v>346</v>
      </c>
      <c r="AC31" s="4">
        <v>60</v>
      </c>
      <c r="AD31" s="5">
        <v>1316</v>
      </c>
      <c r="AE31" s="4">
        <v>20</v>
      </c>
      <c r="AF31" s="3">
        <v>19</v>
      </c>
      <c r="AG31" s="3">
        <v>6</v>
      </c>
      <c r="AH31" s="3">
        <v>5</v>
      </c>
      <c r="AI31" s="4">
        <v>89</v>
      </c>
      <c r="AJ31" s="5">
        <v>410</v>
      </c>
      <c r="AK31" s="4">
        <v>390</v>
      </c>
      <c r="AL31" s="3">
        <v>5703</v>
      </c>
      <c r="AM31" s="3">
        <v>1024</v>
      </c>
      <c r="AN31" s="5">
        <v>305</v>
      </c>
      <c r="AO31" s="4">
        <v>374</v>
      </c>
      <c r="AP31" s="3">
        <v>568</v>
      </c>
      <c r="AQ31" s="3">
        <v>3927</v>
      </c>
      <c r="AR31" s="3">
        <v>27</v>
      </c>
      <c r="AS31" s="3">
        <v>204</v>
      </c>
      <c r="AT31" s="3">
        <v>28</v>
      </c>
      <c r="AU31" s="5">
        <v>185</v>
      </c>
      <c r="AV31" s="4">
        <v>428</v>
      </c>
      <c r="AW31" s="3">
        <v>1776</v>
      </c>
      <c r="AX31" s="3">
        <v>17</v>
      </c>
      <c r="AY31" s="3">
        <v>80</v>
      </c>
      <c r="AZ31" s="4">
        <v>13</v>
      </c>
      <c r="BA31" s="5">
        <v>10</v>
      </c>
    </row>
    <row r="32" spans="1:53" x14ac:dyDescent="0.25">
      <c r="A32" s="4" t="s">
        <v>34</v>
      </c>
      <c r="B32" s="40">
        <v>2009</v>
      </c>
      <c r="C32" s="4">
        <v>1</v>
      </c>
      <c r="D32" s="3">
        <v>15</v>
      </c>
      <c r="E32" s="71" t="s">
        <v>96</v>
      </c>
      <c r="F32" s="3">
        <v>-17.399999999999999</v>
      </c>
      <c r="G32" s="3">
        <v>-11.7</v>
      </c>
      <c r="H32" s="5">
        <v>-5.8</v>
      </c>
      <c r="I32" s="4">
        <v>175</v>
      </c>
      <c r="J32" s="3">
        <v>4470</v>
      </c>
      <c r="K32" s="3">
        <v>998</v>
      </c>
      <c r="L32" s="5">
        <v>259</v>
      </c>
      <c r="M32" s="4">
        <v>312</v>
      </c>
      <c r="N32" s="3">
        <v>543</v>
      </c>
      <c r="O32" s="3">
        <v>2686</v>
      </c>
      <c r="P32" s="3">
        <v>12</v>
      </c>
      <c r="Q32" s="3">
        <v>159</v>
      </c>
      <c r="R32" s="3">
        <v>64</v>
      </c>
      <c r="S32" s="3">
        <v>44</v>
      </c>
      <c r="T32" s="5">
        <v>284</v>
      </c>
      <c r="U32" s="4">
        <v>411</v>
      </c>
      <c r="V32" s="3">
        <v>1784</v>
      </c>
      <c r="W32" s="3">
        <v>4</v>
      </c>
      <c r="X32" s="3">
        <v>79</v>
      </c>
      <c r="Y32" s="4">
        <v>21</v>
      </c>
      <c r="Z32" s="5">
        <v>12</v>
      </c>
      <c r="AA32" s="4">
        <v>37</v>
      </c>
      <c r="AB32" s="5">
        <v>395</v>
      </c>
      <c r="AC32" s="4">
        <v>76</v>
      </c>
      <c r="AD32" s="5">
        <v>1764</v>
      </c>
      <c r="AE32" s="4">
        <v>10</v>
      </c>
      <c r="AF32" s="3">
        <v>9</v>
      </c>
      <c r="AG32" s="3">
        <v>14</v>
      </c>
      <c r="AH32" s="3">
        <v>10</v>
      </c>
      <c r="AI32" s="4">
        <v>90</v>
      </c>
      <c r="AJ32" s="5">
        <v>421</v>
      </c>
      <c r="AK32" s="4">
        <v>436</v>
      </c>
      <c r="AL32" s="3">
        <v>5965</v>
      </c>
      <c r="AM32" s="3">
        <v>1016</v>
      </c>
      <c r="AN32" s="5">
        <v>333</v>
      </c>
      <c r="AO32" s="4">
        <v>315</v>
      </c>
      <c r="AP32" s="3">
        <v>491</v>
      </c>
      <c r="AQ32" s="3">
        <v>3764</v>
      </c>
      <c r="AR32" s="3">
        <v>22</v>
      </c>
      <c r="AS32" s="3">
        <v>182</v>
      </c>
      <c r="AT32" s="3">
        <v>25</v>
      </c>
      <c r="AU32" s="5">
        <v>149</v>
      </c>
      <c r="AV32" s="4">
        <v>500</v>
      </c>
      <c r="AW32" s="3">
        <v>2201</v>
      </c>
      <c r="AX32" s="3">
        <v>24</v>
      </c>
      <c r="AY32" s="3">
        <v>127</v>
      </c>
      <c r="AZ32" s="4">
        <v>8</v>
      </c>
      <c r="BA32" s="5">
        <v>12</v>
      </c>
    </row>
    <row r="33" spans="1:53" x14ac:dyDescent="0.25">
      <c r="A33" s="4" t="s">
        <v>30</v>
      </c>
      <c r="B33" s="40">
        <v>2009</v>
      </c>
      <c r="C33" s="4">
        <v>3</v>
      </c>
      <c r="D33" s="3">
        <v>13</v>
      </c>
      <c r="E33" s="71" t="s">
        <v>96</v>
      </c>
      <c r="F33" s="3">
        <v>-5.6</v>
      </c>
      <c r="G33" s="3">
        <v>-4.5999999999999996</v>
      </c>
      <c r="H33" s="5">
        <v>-1.1000000000000001</v>
      </c>
      <c r="I33" s="4">
        <v>244</v>
      </c>
      <c r="J33" s="3">
        <v>4600</v>
      </c>
      <c r="K33" s="3">
        <v>961</v>
      </c>
      <c r="L33" s="5">
        <v>246</v>
      </c>
      <c r="M33" s="4">
        <v>279</v>
      </c>
      <c r="N33" s="3">
        <v>524</v>
      </c>
      <c r="O33" s="3">
        <v>2973</v>
      </c>
      <c r="P33" s="3">
        <v>18</v>
      </c>
      <c r="Q33" s="3">
        <v>148</v>
      </c>
      <c r="R33" s="3">
        <v>59.8</v>
      </c>
      <c r="S33" s="3">
        <v>33</v>
      </c>
      <c r="T33" s="5">
        <v>161</v>
      </c>
      <c r="U33" s="4">
        <v>404</v>
      </c>
      <c r="V33" s="3">
        <v>1627</v>
      </c>
      <c r="W33" s="3">
        <v>5</v>
      </c>
      <c r="X33" s="3">
        <v>80</v>
      </c>
      <c r="Y33" s="4">
        <v>29</v>
      </c>
      <c r="Z33" s="5">
        <v>5</v>
      </c>
      <c r="AA33" s="4">
        <v>40</v>
      </c>
      <c r="AB33" s="5">
        <v>462</v>
      </c>
      <c r="AC33" s="4">
        <v>62</v>
      </c>
      <c r="AD33" s="5">
        <v>1630</v>
      </c>
      <c r="AE33" s="4">
        <v>11</v>
      </c>
      <c r="AF33" s="3">
        <v>8</v>
      </c>
      <c r="AG33" s="3">
        <v>15</v>
      </c>
      <c r="AH33" s="3">
        <v>8</v>
      </c>
      <c r="AI33" s="4">
        <v>87</v>
      </c>
      <c r="AJ33" s="5">
        <v>363</v>
      </c>
      <c r="AK33" s="4">
        <v>400</v>
      </c>
      <c r="AL33" s="3">
        <v>5849</v>
      </c>
      <c r="AM33" s="3">
        <v>1039</v>
      </c>
      <c r="AN33" s="5">
        <v>324</v>
      </c>
      <c r="AO33" s="4">
        <v>301</v>
      </c>
      <c r="AP33" s="3">
        <v>482</v>
      </c>
      <c r="AQ33" s="3">
        <v>3318</v>
      </c>
      <c r="AR33" s="3">
        <v>28</v>
      </c>
      <c r="AS33" s="3">
        <v>171</v>
      </c>
      <c r="AT33" s="3">
        <v>28</v>
      </c>
      <c r="AU33" s="5">
        <v>166</v>
      </c>
      <c r="AV33" s="4">
        <v>529</v>
      </c>
      <c r="AW33" s="3">
        <v>2531</v>
      </c>
      <c r="AX33" s="3">
        <v>16</v>
      </c>
      <c r="AY33" s="3">
        <v>129</v>
      </c>
      <c r="AZ33" s="4">
        <v>19</v>
      </c>
      <c r="BA33" s="5">
        <v>10</v>
      </c>
    </row>
    <row r="34" spans="1:53" x14ac:dyDescent="0.25">
      <c r="A34" s="4" t="s">
        <v>13</v>
      </c>
      <c r="B34" s="40">
        <v>2009</v>
      </c>
      <c r="C34" s="4">
        <v>8</v>
      </c>
      <c r="D34" s="3">
        <v>8</v>
      </c>
      <c r="E34" s="71" t="s">
        <v>96</v>
      </c>
      <c r="F34" s="3">
        <v>-2.8</v>
      </c>
      <c r="G34" s="3">
        <v>0.9</v>
      </c>
      <c r="H34" s="5">
        <v>-3.6</v>
      </c>
      <c r="I34" s="4">
        <v>354</v>
      </c>
      <c r="J34" s="3">
        <v>5623</v>
      </c>
      <c r="K34" s="3">
        <v>990</v>
      </c>
      <c r="L34" s="5">
        <v>288</v>
      </c>
      <c r="M34" s="4">
        <v>271</v>
      </c>
      <c r="N34" s="3">
        <v>476</v>
      </c>
      <c r="O34" s="3">
        <v>3031</v>
      </c>
      <c r="P34" s="3">
        <v>16</v>
      </c>
      <c r="Q34" s="3">
        <v>154</v>
      </c>
      <c r="R34" s="3">
        <v>74.8</v>
      </c>
      <c r="S34" s="3">
        <v>15</v>
      </c>
      <c r="T34" s="5">
        <v>73</v>
      </c>
      <c r="U34" s="4">
        <v>499</v>
      </c>
      <c r="V34" s="3">
        <v>2592</v>
      </c>
      <c r="W34" s="3">
        <v>19</v>
      </c>
      <c r="X34" s="3">
        <v>115</v>
      </c>
      <c r="Y34" s="4">
        <v>15</v>
      </c>
      <c r="Z34" s="5">
        <v>16</v>
      </c>
      <c r="AA34" s="4">
        <v>33</v>
      </c>
      <c r="AB34" s="5">
        <v>220</v>
      </c>
      <c r="AC34" s="4">
        <v>69</v>
      </c>
      <c r="AD34" s="5">
        <v>1417</v>
      </c>
      <c r="AE34" s="4">
        <v>14</v>
      </c>
      <c r="AF34" s="3">
        <v>12</v>
      </c>
      <c r="AG34" s="3">
        <v>18</v>
      </c>
      <c r="AH34" s="3">
        <v>15</v>
      </c>
      <c r="AI34" s="4">
        <v>69</v>
      </c>
      <c r="AJ34" s="5">
        <v>299</v>
      </c>
      <c r="AK34" s="4">
        <v>402</v>
      </c>
      <c r="AL34" s="3">
        <v>5850</v>
      </c>
      <c r="AM34" s="3">
        <v>1038</v>
      </c>
      <c r="AN34" s="5">
        <v>323</v>
      </c>
      <c r="AO34" s="4">
        <v>404</v>
      </c>
      <c r="AP34" s="3">
        <v>604</v>
      </c>
      <c r="AQ34" s="3">
        <v>4139</v>
      </c>
      <c r="AR34" s="3">
        <v>31</v>
      </c>
      <c r="AS34" s="3">
        <v>210</v>
      </c>
      <c r="AT34" s="3">
        <v>32</v>
      </c>
      <c r="AU34" s="5">
        <v>224</v>
      </c>
      <c r="AV34" s="4">
        <v>402</v>
      </c>
      <c r="AW34" s="3">
        <v>1711</v>
      </c>
      <c r="AX34" s="3">
        <v>16</v>
      </c>
      <c r="AY34" s="3">
        <v>89</v>
      </c>
      <c r="AZ34" s="4">
        <v>20</v>
      </c>
      <c r="BA34" s="5">
        <v>7</v>
      </c>
    </row>
    <row r="35" spans="1:53" ht="15.75" thickBot="1" x14ac:dyDescent="0.3">
      <c r="A35" s="6" t="s">
        <v>22</v>
      </c>
      <c r="B35" s="41">
        <v>2009</v>
      </c>
      <c r="C35" s="6">
        <v>4</v>
      </c>
      <c r="D35" s="8">
        <v>12</v>
      </c>
      <c r="E35" s="72" t="s">
        <v>96</v>
      </c>
      <c r="F35" s="8">
        <v>-4.5999999999999996</v>
      </c>
      <c r="G35" s="8">
        <v>-5.5</v>
      </c>
      <c r="H35" s="7">
        <v>1</v>
      </c>
      <c r="I35" s="6">
        <v>266</v>
      </c>
      <c r="J35" s="8">
        <v>5000</v>
      </c>
      <c r="K35" s="8">
        <v>970</v>
      </c>
      <c r="L35" s="7">
        <v>280</v>
      </c>
      <c r="M35" s="6">
        <v>340</v>
      </c>
      <c r="N35" s="8">
        <v>533</v>
      </c>
      <c r="O35" s="8">
        <v>3490</v>
      </c>
      <c r="P35" s="8">
        <v>21</v>
      </c>
      <c r="Q35" s="8">
        <v>191</v>
      </c>
      <c r="R35" s="8">
        <v>85.5</v>
      </c>
      <c r="S35" s="8">
        <v>46</v>
      </c>
      <c r="T35" s="7">
        <v>307</v>
      </c>
      <c r="U35" s="6">
        <v>391</v>
      </c>
      <c r="V35" s="8">
        <v>1510</v>
      </c>
      <c r="W35" s="8">
        <v>8</v>
      </c>
      <c r="X35" s="8">
        <v>72</v>
      </c>
      <c r="Y35" s="6">
        <v>16</v>
      </c>
      <c r="Z35" s="7">
        <v>12</v>
      </c>
      <c r="AA35" s="6">
        <v>32</v>
      </c>
      <c r="AB35" s="7">
        <v>152</v>
      </c>
      <c r="AC35" s="6">
        <v>65</v>
      </c>
      <c r="AD35" s="7">
        <v>1413</v>
      </c>
      <c r="AE35" s="6">
        <v>17</v>
      </c>
      <c r="AF35" s="8">
        <v>15</v>
      </c>
      <c r="AG35" s="8">
        <v>8</v>
      </c>
      <c r="AH35" s="8">
        <v>7</v>
      </c>
      <c r="AI35" s="6">
        <v>76</v>
      </c>
      <c r="AJ35" s="7">
        <v>309</v>
      </c>
      <c r="AK35" s="6">
        <v>336</v>
      </c>
      <c r="AL35" s="8">
        <v>5115</v>
      </c>
      <c r="AM35" s="8">
        <v>1000</v>
      </c>
      <c r="AN35" s="7">
        <v>280</v>
      </c>
      <c r="AO35" s="6">
        <v>314</v>
      </c>
      <c r="AP35" s="8">
        <v>511</v>
      </c>
      <c r="AQ35" s="8">
        <v>3316</v>
      </c>
      <c r="AR35" s="8">
        <v>19</v>
      </c>
      <c r="AS35" s="8">
        <v>176</v>
      </c>
      <c r="AT35" s="8">
        <v>40</v>
      </c>
      <c r="AU35" s="7">
        <v>241</v>
      </c>
      <c r="AV35" s="6">
        <v>449</v>
      </c>
      <c r="AW35" s="8">
        <v>1799</v>
      </c>
      <c r="AX35" s="8">
        <v>10</v>
      </c>
      <c r="AY35" s="8">
        <v>85</v>
      </c>
      <c r="AZ35" s="6">
        <v>11</v>
      </c>
      <c r="BA35" s="7">
        <v>6</v>
      </c>
    </row>
    <row r="36" spans="1:53" x14ac:dyDescent="0.25">
      <c r="A36" s="11" t="s">
        <v>31</v>
      </c>
      <c r="B36" s="39">
        <v>2008</v>
      </c>
      <c r="C36" s="12">
        <v>9</v>
      </c>
      <c r="D36" s="18">
        <v>7</v>
      </c>
      <c r="E36" s="73" t="s">
        <v>97</v>
      </c>
      <c r="F36" s="18">
        <v>-1.9</v>
      </c>
      <c r="G36" s="18">
        <v>4.0999999999999996</v>
      </c>
      <c r="H36" s="13">
        <v>-6</v>
      </c>
      <c r="I36" s="12">
        <v>427</v>
      </c>
      <c r="J36" s="18">
        <v>5852</v>
      </c>
      <c r="K36" s="18">
        <v>998</v>
      </c>
      <c r="L36" s="13">
        <v>328</v>
      </c>
      <c r="M36" s="12">
        <v>418</v>
      </c>
      <c r="N36" s="18">
        <v>630</v>
      </c>
      <c r="O36" s="18">
        <v>4674</v>
      </c>
      <c r="P36" s="18">
        <v>31</v>
      </c>
      <c r="Q36" s="18">
        <v>231</v>
      </c>
      <c r="R36" s="18">
        <v>96.1</v>
      </c>
      <c r="S36" s="18">
        <v>28</v>
      </c>
      <c r="T36" s="13">
        <v>201</v>
      </c>
      <c r="U36" s="12">
        <v>340</v>
      </c>
      <c r="V36" s="18">
        <v>1178</v>
      </c>
      <c r="W36" s="18">
        <v>14</v>
      </c>
      <c r="X36" s="13">
        <v>72</v>
      </c>
      <c r="Y36" s="12">
        <v>15</v>
      </c>
      <c r="Z36" s="13">
        <v>27</v>
      </c>
      <c r="AA36" s="12">
        <v>33</v>
      </c>
      <c r="AB36" s="13">
        <v>237</v>
      </c>
      <c r="AC36" s="12">
        <v>75</v>
      </c>
      <c r="AD36" s="13">
        <v>1630</v>
      </c>
      <c r="AE36" s="11">
        <v>20</v>
      </c>
      <c r="AF36" s="9">
        <v>18</v>
      </c>
      <c r="AG36" s="9">
        <v>8</v>
      </c>
      <c r="AH36" s="9">
        <v>7</v>
      </c>
      <c r="AI36" s="12">
        <v>60</v>
      </c>
      <c r="AJ36" s="13">
        <v>2508</v>
      </c>
      <c r="AK36" s="12">
        <v>426</v>
      </c>
      <c r="AL36" s="18">
        <v>5304</v>
      </c>
      <c r="AM36" s="18">
        <v>993</v>
      </c>
      <c r="AN36" s="13">
        <v>312</v>
      </c>
      <c r="AO36" s="12">
        <v>323</v>
      </c>
      <c r="AP36" s="18">
        <v>517</v>
      </c>
      <c r="AQ36" s="18">
        <v>3540</v>
      </c>
      <c r="AR36" s="18">
        <v>36</v>
      </c>
      <c r="AS36" s="18">
        <v>172</v>
      </c>
      <c r="AT36" s="18">
        <v>31</v>
      </c>
      <c r="AU36" s="13">
        <v>191</v>
      </c>
      <c r="AV36" s="12">
        <v>445</v>
      </c>
      <c r="AW36" s="18">
        <v>1764</v>
      </c>
      <c r="AX36" s="18">
        <v>13</v>
      </c>
      <c r="AY36" s="13">
        <v>117</v>
      </c>
      <c r="AZ36" s="12">
        <v>13</v>
      </c>
      <c r="BA36" s="13">
        <v>17</v>
      </c>
    </row>
    <row r="37" spans="1:53" x14ac:dyDescent="0.25">
      <c r="A37" s="4" t="s">
        <v>28</v>
      </c>
      <c r="B37" s="40">
        <v>2008</v>
      </c>
      <c r="C37" s="14">
        <v>11</v>
      </c>
      <c r="D37" s="19">
        <v>5</v>
      </c>
      <c r="E37" s="74" t="s">
        <v>97</v>
      </c>
      <c r="F37" s="19">
        <v>3.8</v>
      </c>
      <c r="G37" s="19">
        <v>1.3</v>
      </c>
      <c r="H37" s="15">
        <v>2.5</v>
      </c>
      <c r="I37" s="14">
        <v>391</v>
      </c>
      <c r="J37" s="19">
        <v>5779</v>
      </c>
      <c r="K37" s="19">
        <v>1011</v>
      </c>
      <c r="L37" s="15">
        <v>313</v>
      </c>
      <c r="M37" s="14">
        <v>265</v>
      </c>
      <c r="N37" s="19">
        <v>434</v>
      </c>
      <c r="O37" s="19">
        <v>3336</v>
      </c>
      <c r="P37" s="19">
        <v>16</v>
      </c>
      <c r="Q37" s="19">
        <v>157</v>
      </c>
      <c r="R37" s="19">
        <v>87.7</v>
      </c>
      <c r="S37" s="19">
        <v>17</v>
      </c>
      <c r="T37" s="15">
        <v>104</v>
      </c>
      <c r="U37" s="14">
        <v>560</v>
      </c>
      <c r="V37" s="19">
        <v>2443</v>
      </c>
      <c r="W37" s="19">
        <v>23</v>
      </c>
      <c r="X37" s="15">
        <v>131</v>
      </c>
      <c r="Y37" s="14">
        <v>11</v>
      </c>
      <c r="Z37" s="15">
        <v>18</v>
      </c>
      <c r="AA37" s="14">
        <v>43</v>
      </c>
      <c r="AB37" s="15">
        <v>379</v>
      </c>
      <c r="AC37" s="14">
        <v>59</v>
      </c>
      <c r="AD37" s="15">
        <v>1408</v>
      </c>
      <c r="AE37" s="4">
        <v>19</v>
      </c>
      <c r="AF37" s="3">
        <v>18</v>
      </c>
      <c r="AG37" s="3">
        <v>12</v>
      </c>
      <c r="AH37" s="3">
        <v>11</v>
      </c>
      <c r="AI37" s="14">
        <v>65</v>
      </c>
      <c r="AJ37" s="15">
        <v>2568</v>
      </c>
      <c r="AK37" s="14">
        <v>325</v>
      </c>
      <c r="AL37" s="19">
        <v>5566</v>
      </c>
      <c r="AM37" s="19">
        <v>998</v>
      </c>
      <c r="AN37" s="15">
        <v>309</v>
      </c>
      <c r="AO37" s="14">
        <v>325</v>
      </c>
      <c r="AP37" s="19">
        <v>549</v>
      </c>
      <c r="AQ37" s="19">
        <v>3526</v>
      </c>
      <c r="AR37" s="19">
        <v>20</v>
      </c>
      <c r="AS37" s="19">
        <v>189</v>
      </c>
      <c r="AT37" s="19">
        <v>34</v>
      </c>
      <c r="AU37" s="15">
        <v>245</v>
      </c>
      <c r="AV37" s="14">
        <v>415</v>
      </c>
      <c r="AW37" s="19">
        <v>2040</v>
      </c>
      <c r="AX37" s="19">
        <v>17</v>
      </c>
      <c r="AY37" s="15">
        <v>108</v>
      </c>
      <c r="AZ37" s="14">
        <v>10</v>
      </c>
      <c r="BA37" s="15">
        <v>8</v>
      </c>
    </row>
    <row r="38" spans="1:53" x14ac:dyDescent="0.25">
      <c r="A38" s="4" t="s">
        <v>8</v>
      </c>
      <c r="B38" s="40">
        <v>2008</v>
      </c>
      <c r="C38" s="14">
        <v>11</v>
      </c>
      <c r="D38" s="19">
        <v>5</v>
      </c>
      <c r="E38" s="74" t="s">
        <v>97</v>
      </c>
      <c r="F38" s="19">
        <v>9.8000000000000007</v>
      </c>
      <c r="G38" s="19">
        <v>4.2</v>
      </c>
      <c r="H38" s="15">
        <v>5.6</v>
      </c>
      <c r="I38" s="14">
        <v>385</v>
      </c>
      <c r="J38" s="19">
        <v>5184</v>
      </c>
      <c r="K38" s="19">
        <v>1058</v>
      </c>
      <c r="L38" s="15">
        <v>300</v>
      </c>
      <c r="M38" s="14">
        <v>261</v>
      </c>
      <c r="N38" s="19">
        <v>433</v>
      </c>
      <c r="O38" s="19">
        <v>2808</v>
      </c>
      <c r="P38" s="19">
        <v>16</v>
      </c>
      <c r="Q38" s="19">
        <v>147</v>
      </c>
      <c r="R38" s="19">
        <v>82.8</v>
      </c>
      <c r="S38" s="19">
        <v>33</v>
      </c>
      <c r="T38" s="15">
        <v>277</v>
      </c>
      <c r="U38" s="14">
        <v>592</v>
      </c>
      <c r="V38" s="19">
        <v>2376</v>
      </c>
      <c r="W38" s="19">
        <v>20</v>
      </c>
      <c r="X38" s="15">
        <v>132</v>
      </c>
      <c r="Y38" s="14">
        <v>12</v>
      </c>
      <c r="Z38" s="15">
        <v>28</v>
      </c>
      <c r="AA38" s="14">
        <v>44</v>
      </c>
      <c r="AB38" s="15">
        <v>378</v>
      </c>
      <c r="AC38" s="14">
        <v>50</v>
      </c>
      <c r="AD38" s="15">
        <v>1007</v>
      </c>
      <c r="AE38" s="4">
        <v>23</v>
      </c>
      <c r="AF38" s="3">
        <v>22</v>
      </c>
      <c r="AG38" s="3">
        <v>12</v>
      </c>
      <c r="AH38" s="3">
        <v>6</v>
      </c>
      <c r="AI38" s="14">
        <v>84</v>
      </c>
      <c r="AJ38" s="15">
        <v>3780</v>
      </c>
      <c r="AK38" s="14">
        <v>244</v>
      </c>
      <c r="AL38" s="19">
        <v>4177</v>
      </c>
      <c r="AM38" s="19">
        <v>928</v>
      </c>
      <c r="AN38" s="15">
        <v>228</v>
      </c>
      <c r="AO38" s="14">
        <v>276</v>
      </c>
      <c r="AP38" s="19">
        <v>528</v>
      </c>
      <c r="AQ38" s="19">
        <v>2875</v>
      </c>
      <c r="AR38" s="19">
        <v>17</v>
      </c>
      <c r="AS38" s="19">
        <v>152</v>
      </c>
      <c r="AT38" s="19">
        <v>34</v>
      </c>
      <c r="AU38" s="15">
        <v>257</v>
      </c>
      <c r="AV38" s="14">
        <v>366</v>
      </c>
      <c r="AW38" s="19">
        <v>1302</v>
      </c>
      <c r="AX38" s="19">
        <v>4</v>
      </c>
      <c r="AY38" s="15">
        <v>58</v>
      </c>
      <c r="AZ38" s="14">
        <v>26</v>
      </c>
      <c r="BA38" s="15">
        <v>8</v>
      </c>
    </row>
    <row r="39" spans="1:53" x14ac:dyDescent="0.25">
      <c r="A39" s="4" t="s">
        <v>6</v>
      </c>
      <c r="B39" s="40">
        <v>2008</v>
      </c>
      <c r="C39" s="14">
        <v>7</v>
      </c>
      <c r="D39" s="19">
        <v>9</v>
      </c>
      <c r="E39" s="74" t="s">
        <v>96</v>
      </c>
      <c r="F39" s="19">
        <v>-3.3</v>
      </c>
      <c r="G39" s="19">
        <v>-2.8</v>
      </c>
      <c r="H39" s="15">
        <v>-0.6</v>
      </c>
      <c r="I39" s="14">
        <v>336</v>
      </c>
      <c r="J39" s="19">
        <v>4882</v>
      </c>
      <c r="K39" s="19">
        <v>956</v>
      </c>
      <c r="L39" s="15">
        <v>287</v>
      </c>
      <c r="M39" s="14">
        <v>309</v>
      </c>
      <c r="N39" s="19">
        <v>479</v>
      </c>
      <c r="O39" s="19">
        <v>3040</v>
      </c>
      <c r="P39" s="19">
        <v>14</v>
      </c>
      <c r="Q39" s="19">
        <v>167</v>
      </c>
      <c r="R39" s="19">
        <v>81.3</v>
      </c>
      <c r="S39" s="19">
        <v>38</v>
      </c>
      <c r="T39" s="15">
        <v>262</v>
      </c>
      <c r="U39" s="14">
        <v>439</v>
      </c>
      <c r="V39" s="19">
        <v>1842</v>
      </c>
      <c r="W39" s="19">
        <v>16</v>
      </c>
      <c r="X39" s="15">
        <v>107</v>
      </c>
      <c r="Y39" s="14">
        <v>15</v>
      </c>
      <c r="Z39" s="15">
        <v>33</v>
      </c>
      <c r="AA39" s="14">
        <v>30</v>
      </c>
      <c r="AB39" s="15">
        <v>464</v>
      </c>
      <c r="AC39" s="14">
        <v>75</v>
      </c>
      <c r="AD39" s="15">
        <v>1816</v>
      </c>
      <c r="AE39" s="4">
        <v>20</v>
      </c>
      <c r="AF39" s="3">
        <v>19</v>
      </c>
      <c r="AG39" s="3">
        <v>18</v>
      </c>
      <c r="AH39" s="3">
        <v>11</v>
      </c>
      <c r="AI39" s="14">
        <v>58</v>
      </c>
      <c r="AJ39" s="15">
        <v>2558</v>
      </c>
      <c r="AK39" s="14">
        <v>342</v>
      </c>
      <c r="AL39" s="19">
        <v>5217</v>
      </c>
      <c r="AM39" s="19">
        <v>971</v>
      </c>
      <c r="AN39" s="15">
        <v>293</v>
      </c>
      <c r="AO39" s="14">
        <v>301</v>
      </c>
      <c r="AP39" s="19">
        <v>492</v>
      </c>
      <c r="AQ39" s="19">
        <v>3271</v>
      </c>
      <c r="AR39" s="19">
        <v>14</v>
      </c>
      <c r="AS39" s="19">
        <v>167</v>
      </c>
      <c r="AT39" s="19">
        <v>24</v>
      </c>
      <c r="AU39" s="15">
        <v>170</v>
      </c>
      <c r="AV39" s="14">
        <v>455</v>
      </c>
      <c r="AW39" s="19">
        <v>1946</v>
      </c>
      <c r="AX39" s="19">
        <v>18</v>
      </c>
      <c r="AY39" s="15">
        <v>113</v>
      </c>
      <c r="AZ39" s="14">
        <v>10</v>
      </c>
      <c r="BA39" s="15">
        <v>12</v>
      </c>
    </row>
    <row r="40" spans="1:53" x14ac:dyDescent="0.25">
      <c r="A40" s="4" t="s">
        <v>29</v>
      </c>
      <c r="B40" s="40">
        <v>2008</v>
      </c>
      <c r="C40" s="14">
        <v>12</v>
      </c>
      <c r="D40" s="19">
        <v>4</v>
      </c>
      <c r="E40" s="74" t="s">
        <v>97</v>
      </c>
      <c r="F40" s="19">
        <v>5.6</v>
      </c>
      <c r="G40" s="19">
        <v>2.8</v>
      </c>
      <c r="H40" s="15">
        <v>2.9</v>
      </c>
      <c r="I40" s="14">
        <v>414</v>
      </c>
      <c r="J40" s="19">
        <v>5595</v>
      </c>
      <c r="K40" s="19">
        <v>938</v>
      </c>
      <c r="L40" s="15">
        <v>287</v>
      </c>
      <c r="M40" s="14">
        <v>246</v>
      </c>
      <c r="N40" s="19">
        <v>414</v>
      </c>
      <c r="O40" s="19">
        <v>3158</v>
      </c>
      <c r="P40" s="19">
        <v>15</v>
      </c>
      <c r="Q40" s="19">
        <v>152</v>
      </c>
      <c r="R40" s="19">
        <v>84.7</v>
      </c>
      <c r="S40" s="19">
        <v>20</v>
      </c>
      <c r="T40" s="15">
        <v>130</v>
      </c>
      <c r="U40" s="14">
        <v>504</v>
      </c>
      <c r="V40" s="19">
        <v>2437</v>
      </c>
      <c r="W40" s="19">
        <v>30</v>
      </c>
      <c r="X40" s="15">
        <v>118</v>
      </c>
      <c r="Y40" s="14">
        <v>12</v>
      </c>
      <c r="Z40" s="15">
        <v>12</v>
      </c>
      <c r="AA40" s="14">
        <v>42</v>
      </c>
      <c r="AB40" s="15">
        <v>453</v>
      </c>
      <c r="AC40" s="14">
        <v>60</v>
      </c>
      <c r="AD40" s="15">
        <v>1372</v>
      </c>
      <c r="AE40" s="4">
        <v>16</v>
      </c>
      <c r="AF40" s="3">
        <v>16</v>
      </c>
      <c r="AG40" s="3">
        <v>15</v>
      </c>
      <c r="AH40" s="3">
        <v>12</v>
      </c>
      <c r="AI40" s="14">
        <v>76</v>
      </c>
      <c r="AJ40" s="15">
        <v>3215</v>
      </c>
      <c r="AK40" s="14">
        <v>329</v>
      </c>
      <c r="AL40" s="19">
        <v>5299</v>
      </c>
      <c r="AM40" s="19">
        <v>1026</v>
      </c>
      <c r="AN40" s="15">
        <v>296</v>
      </c>
      <c r="AO40" s="14">
        <v>333</v>
      </c>
      <c r="AP40" s="19">
        <v>557</v>
      </c>
      <c r="AQ40" s="19">
        <v>3387</v>
      </c>
      <c r="AR40" s="19">
        <v>19</v>
      </c>
      <c r="AS40" s="19">
        <v>178</v>
      </c>
      <c r="AT40" s="19">
        <v>37</v>
      </c>
      <c r="AU40" s="15">
        <v>230</v>
      </c>
      <c r="AV40" s="14">
        <v>432</v>
      </c>
      <c r="AW40" s="19">
        <v>1912</v>
      </c>
      <c r="AX40" s="19">
        <v>14</v>
      </c>
      <c r="AY40" s="15">
        <v>100</v>
      </c>
      <c r="AZ40" s="14">
        <v>12</v>
      </c>
      <c r="BA40" s="15">
        <v>13</v>
      </c>
    </row>
    <row r="41" spans="1:53" x14ac:dyDescent="0.25">
      <c r="A41" s="4" t="s">
        <v>25</v>
      </c>
      <c r="B41" s="40">
        <v>2008</v>
      </c>
      <c r="C41" s="14">
        <v>9</v>
      </c>
      <c r="D41" s="19">
        <v>7</v>
      </c>
      <c r="E41" s="74" t="s">
        <v>96</v>
      </c>
      <c r="F41" s="19">
        <v>2.1</v>
      </c>
      <c r="G41" s="19">
        <v>1.1000000000000001</v>
      </c>
      <c r="H41" s="15">
        <v>1</v>
      </c>
      <c r="I41" s="14">
        <v>375</v>
      </c>
      <c r="J41" s="19">
        <v>4734</v>
      </c>
      <c r="K41" s="19">
        <v>991</v>
      </c>
      <c r="L41" s="15">
        <v>264</v>
      </c>
      <c r="M41" s="14">
        <v>304</v>
      </c>
      <c r="N41" s="19">
        <v>528</v>
      </c>
      <c r="O41" s="19">
        <v>3061</v>
      </c>
      <c r="P41" s="19">
        <v>20</v>
      </c>
      <c r="Q41" s="19">
        <v>153</v>
      </c>
      <c r="R41" s="19">
        <v>77.099999999999994</v>
      </c>
      <c r="S41" s="19">
        <v>29</v>
      </c>
      <c r="T41" s="15">
        <v>168</v>
      </c>
      <c r="U41" s="14">
        <v>434</v>
      </c>
      <c r="V41" s="19">
        <v>1673</v>
      </c>
      <c r="W41" s="19">
        <v>15</v>
      </c>
      <c r="X41" s="15">
        <v>98</v>
      </c>
      <c r="Y41" s="14">
        <v>14</v>
      </c>
      <c r="Z41" s="15">
        <v>19</v>
      </c>
      <c r="AA41" s="14">
        <v>39</v>
      </c>
      <c r="AB41" s="15">
        <v>261</v>
      </c>
      <c r="AC41" s="14">
        <v>77</v>
      </c>
      <c r="AD41" s="15">
        <v>1919</v>
      </c>
      <c r="AE41" s="4">
        <v>18</v>
      </c>
      <c r="AF41" s="3">
        <v>18</v>
      </c>
      <c r="AG41" s="3">
        <v>11</v>
      </c>
      <c r="AH41" s="3">
        <v>8</v>
      </c>
      <c r="AI41" s="4">
        <v>96</v>
      </c>
      <c r="AJ41" s="5">
        <v>3955</v>
      </c>
      <c r="AK41" s="14">
        <v>350</v>
      </c>
      <c r="AL41" s="19">
        <v>5355</v>
      </c>
      <c r="AM41" s="19">
        <v>1087</v>
      </c>
      <c r="AN41" s="15">
        <v>314</v>
      </c>
      <c r="AO41" s="14">
        <v>383</v>
      </c>
      <c r="AP41" s="19">
        <v>622</v>
      </c>
      <c r="AQ41" s="19">
        <v>3859</v>
      </c>
      <c r="AR41" s="19">
        <v>21</v>
      </c>
      <c r="AS41" s="19">
        <v>208</v>
      </c>
      <c r="AT41" s="19">
        <v>28</v>
      </c>
      <c r="AU41" s="15">
        <v>217</v>
      </c>
      <c r="AV41" s="14">
        <v>437</v>
      </c>
      <c r="AW41" s="19">
        <v>1496</v>
      </c>
      <c r="AX41" s="19">
        <v>16</v>
      </c>
      <c r="AY41" s="15">
        <v>93</v>
      </c>
      <c r="AZ41" s="14">
        <v>22</v>
      </c>
      <c r="BA41" s="15">
        <v>10</v>
      </c>
    </row>
    <row r="42" spans="1:53" x14ac:dyDescent="0.25">
      <c r="A42" s="4" t="s">
        <v>7</v>
      </c>
      <c r="B42" s="40">
        <v>2008</v>
      </c>
      <c r="C42" s="14">
        <v>4</v>
      </c>
      <c r="D42" s="19">
        <v>11</v>
      </c>
      <c r="E42" s="74" t="s">
        <v>96</v>
      </c>
      <c r="F42" s="19">
        <v>-7</v>
      </c>
      <c r="G42" s="19">
        <v>-6.9</v>
      </c>
      <c r="H42" s="15">
        <v>-0.1</v>
      </c>
      <c r="I42" s="14">
        <v>204</v>
      </c>
      <c r="J42" s="19">
        <v>3926</v>
      </c>
      <c r="K42" s="19">
        <v>984</v>
      </c>
      <c r="L42" s="15">
        <v>245</v>
      </c>
      <c r="M42" s="14">
        <v>303</v>
      </c>
      <c r="N42" s="19">
        <v>513</v>
      </c>
      <c r="O42" s="19">
        <v>2406</v>
      </c>
      <c r="P42" s="19">
        <v>11</v>
      </c>
      <c r="Q42" s="19">
        <v>145</v>
      </c>
      <c r="R42" s="19">
        <v>68</v>
      </c>
      <c r="S42" s="19">
        <v>51</v>
      </c>
      <c r="T42" s="15">
        <v>271</v>
      </c>
      <c r="U42" s="14">
        <v>420</v>
      </c>
      <c r="V42" s="19">
        <v>1520</v>
      </c>
      <c r="W42" s="19">
        <v>6</v>
      </c>
      <c r="X42" s="15">
        <v>80</v>
      </c>
      <c r="Y42" s="14">
        <v>15</v>
      </c>
      <c r="Z42" s="15">
        <v>27</v>
      </c>
      <c r="AA42" s="14">
        <v>32</v>
      </c>
      <c r="AB42" s="15">
        <v>253</v>
      </c>
      <c r="AC42" s="14">
        <v>67</v>
      </c>
      <c r="AD42" s="15">
        <v>1551</v>
      </c>
      <c r="AE42" s="4">
        <v>14</v>
      </c>
      <c r="AF42" s="3">
        <v>13</v>
      </c>
      <c r="AG42" s="3">
        <v>11</v>
      </c>
      <c r="AH42" s="3">
        <v>9</v>
      </c>
      <c r="AI42" s="14">
        <v>101</v>
      </c>
      <c r="AJ42" s="15">
        <v>3949</v>
      </c>
      <c r="AK42" s="14">
        <v>364</v>
      </c>
      <c r="AL42" s="19">
        <v>5208</v>
      </c>
      <c r="AM42" s="19">
        <v>1013</v>
      </c>
      <c r="AN42" s="15">
        <v>296</v>
      </c>
      <c r="AO42" s="14">
        <v>315</v>
      </c>
      <c r="AP42" s="19">
        <v>506</v>
      </c>
      <c r="AQ42" s="19">
        <v>3287</v>
      </c>
      <c r="AR42" s="19">
        <v>23</v>
      </c>
      <c r="AS42" s="19">
        <v>169</v>
      </c>
      <c r="AT42" s="19">
        <v>17</v>
      </c>
      <c r="AU42" s="15">
        <v>122</v>
      </c>
      <c r="AV42" s="14">
        <v>490</v>
      </c>
      <c r="AW42" s="19">
        <v>1921</v>
      </c>
      <c r="AX42" s="19">
        <v>15</v>
      </c>
      <c r="AY42" s="15">
        <v>106</v>
      </c>
      <c r="AZ42" s="14">
        <v>12</v>
      </c>
      <c r="BA42" s="15">
        <v>12</v>
      </c>
    </row>
    <row r="43" spans="1:53" x14ac:dyDescent="0.25">
      <c r="A43" s="4" t="s">
        <v>10</v>
      </c>
      <c r="B43" s="40">
        <v>2008</v>
      </c>
      <c r="C43" s="14">
        <v>4</v>
      </c>
      <c r="D43" s="19">
        <v>12</v>
      </c>
      <c r="E43" s="74" t="s">
        <v>96</v>
      </c>
      <c r="F43" s="19">
        <v>-4.5999999999999996</v>
      </c>
      <c r="G43" s="19">
        <v>-5.2</v>
      </c>
      <c r="H43" s="15">
        <v>0.6</v>
      </c>
      <c r="I43" s="14">
        <v>232</v>
      </c>
      <c r="J43" s="19">
        <v>3985</v>
      </c>
      <c r="K43" s="19">
        <v>921</v>
      </c>
      <c r="L43" s="15">
        <v>233</v>
      </c>
      <c r="M43" s="14">
        <v>238</v>
      </c>
      <c r="N43" s="19">
        <v>488</v>
      </c>
      <c r="O43" s="19">
        <v>2380</v>
      </c>
      <c r="P43" s="19">
        <v>11</v>
      </c>
      <c r="Q43" s="19">
        <v>127</v>
      </c>
      <c r="R43" s="19">
        <v>54.8</v>
      </c>
      <c r="S43" s="19">
        <v>24</v>
      </c>
      <c r="T43" s="15">
        <v>157</v>
      </c>
      <c r="U43" s="14">
        <v>409</v>
      </c>
      <c r="V43" s="19">
        <v>1605</v>
      </c>
      <c r="W43" s="19">
        <v>6</v>
      </c>
      <c r="X43" s="15">
        <v>84</v>
      </c>
      <c r="Y43" s="14">
        <v>20</v>
      </c>
      <c r="Z43" s="15">
        <v>17</v>
      </c>
      <c r="AA43" s="14">
        <v>30</v>
      </c>
      <c r="AB43" s="15">
        <v>251</v>
      </c>
      <c r="AC43" s="14">
        <v>58</v>
      </c>
      <c r="AD43" s="15">
        <v>1312</v>
      </c>
      <c r="AE43" s="4">
        <v>24</v>
      </c>
      <c r="AF43" s="3">
        <v>22</v>
      </c>
      <c r="AG43" s="3">
        <v>12</v>
      </c>
      <c r="AH43" s="3">
        <v>8</v>
      </c>
      <c r="AI43" s="14">
        <v>76</v>
      </c>
      <c r="AJ43" s="15">
        <v>3443</v>
      </c>
      <c r="AK43" s="14">
        <v>350</v>
      </c>
      <c r="AL43" s="19">
        <v>5704</v>
      </c>
      <c r="AM43" s="19">
        <v>1004</v>
      </c>
      <c r="AN43" s="15">
        <v>315</v>
      </c>
      <c r="AO43" s="14">
        <v>286</v>
      </c>
      <c r="AP43" s="19">
        <v>446</v>
      </c>
      <c r="AQ43" s="19">
        <v>3273</v>
      </c>
      <c r="AR43" s="19">
        <v>19</v>
      </c>
      <c r="AS43" s="19">
        <v>176</v>
      </c>
      <c r="AT43" s="19">
        <v>17</v>
      </c>
      <c r="AU43" s="15">
        <v>90</v>
      </c>
      <c r="AV43" s="14">
        <v>541</v>
      </c>
      <c r="AW43" s="19">
        <v>2431</v>
      </c>
      <c r="AX43" s="19">
        <v>16</v>
      </c>
      <c r="AY43" s="15">
        <v>125</v>
      </c>
      <c r="AZ43" s="14">
        <v>23</v>
      </c>
      <c r="BA43" s="15">
        <v>8</v>
      </c>
    </row>
    <row r="44" spans="1:53" x14ac:dyDescent="0.25">
      <c r="A44" s="4" t="s">
        <v>19</v>
      </c>
      <c r="B44" s="40">
        <v>2008</v>
      </c>
      <c r="C44" s="14">
        <v>9</v>
      </c>
      <c r="D44" s="19">
        <v>7</v>
      </c>
      <c r="E44" s="74" t="s">
        <v>96</v>
      </c>
      <c r="F44" s="19">
        <v>0.6</v>
      </c>
      <c r="G44" s="19">
        <v>1.7</v>
      </c>
      <c r="H44" s="15">
        <v>-1.2</v>
      </c>
      <c r="I44" s="14">
        <v>362</v>
      </c>
      <c r="J44" s="19">
        <v>5512</v>
      </c>
      <c r="K44" s="19">
        <v>979</v>
      </c>
      <c r="L44" s="15">
        <v>291</v>
      </c>
      <c r="M44" s="14">
        <v>328</v>
      </c>
      <c r="N44" s="19">
        <v>547</v>
      </c>
      <c r="O44" s="19">
        <v>3789</v>
      </c>
      <c r="P44" s="19">
        <v>29</v>
      </c>
      <c r="Q44" s="19">
        <v>171</v>
      </c>
      <c r="R44" s="19">
        <v>84.9</v>
      </c>
      <c r="S44" s="19">
        <v>31</v>
      </c>
      <c r="T44" s="15">
        <v>199</v>
      </c>
      <c r="U44" s="14">
        <v>401</v>
      </c>
      <c r="V44" s="19">
        <v>1723</v>
      </c>
      <c r="W44" s="19">
        <v>12</v>
      </c>
      <c r="X44" s="15">
        <v>102</v>
      </c>
      <c r="Y44" s="14">
        <v>20</v>
      </c>
      <c r="Z44" s="15">
        <v>29</v>
      </c>
      <c r="AA44" s="14">
        <v>37</v>
      </c>
      <c r="AB44" s="15">
        <v>238</v>
      </c>
      <c r="AC44" s="14">
        <v>70</v>
      </c>
      <c r="AD44" s="15">
        <v>1554</v>
      </c>
      <c r="AE44" s="4">
        <v>9</v>
      </c>
      <c r="AF44" s="3">
        <v>8</v>
      </c>
      <c r="AG44" s="3">
        <v>13</v>
      </c>
      <c r="AH44" s="3">
        <v>12</v>
      </c>
      <c r="AI44" s="14">
        <v>78</v>
      </c>
      <c r="AJ44" s="15">
        <v>3385</v>
      </c>
      <c r="AK44" s="14">
        <v>365</v>
      </c>
      <c r="AL44" s="19">
        <v>4709</v>
      </c>
      <c r="AM44" s="19">
        <v>969</v>
      </c>
      <c r="AN44" s="15">
        <v>276</v>
      </c>
      <c r="AO44" s="14">
        <v>308</v>
      </c>
      <c r="AP44" s="19">
        <v>508</v>
      </c>
      <c r="AQ44" s="19">
        <v>3003</v>
      </c>
      <c r="AR44" s="19">
        <v>19</v>
      </c>
      <c r="AS44" s="19">
        <v>163</v>
      </c>
      <c r="AT44" s="19">
        <v>59</v>
      </c>
      <c r="AU44" s="15">
        <v>374</v>
      </c>
      <c r="AV44" s="14">
        <v>402</v>
      </c>
      <c r="AW44" s="19">
        <v>1706</v>
      </c>
      <c r="AX44" s="19">
        <v>11</v>
      </c>
      <c r="AY44" s="15">
        <v>85</v>
      </c>
      <c r="AZ44" s="14">
        <v>8</v>
      </c>
      <c r="BA44" s="15">
        <v>14</v>
      </c>
    </row>
    <row r="45" spans="1:53" x14ac:dyDescent="0.25">
      <c r="A45" s="4" t="s">
        <v>16</v>
      </c>
      <c r="B45" s="40">
        <v>2008</v>
      </c>
      <c r="C45" s="14">
        <v>8</v>
      </c>
      <c r="D45" s="19">
        <v>8</v>
      </c>
      <c r="E45" s="74" t="s">
        <v>96</v>
      </c>
      <c r="F45" s="19">
        <v>-5.8</v>
      </c>
      <c r="G45" s="19">
        <v>0.7</v>
      </c>
      <c r="H45" s="15">
        <v>-6.5</v>
      </c>
      <c r="I45" s="14">
        <v>370</v>
      </c>
      <c r="J45" s="19">
        <v>6333</v>
      </c>
      <c r="K45" s="19">
        <v>1019</v>
      </c>
      <c r="L45" s="15">
        <v>354</v>
      </c>
      <c r="M45" s="14">
        <v>386</v>
      </c>
      <c r="N45" s="19">
        <v>620</v>
      </c>
      <c r="O45" s="19">
        <v>4471</v>
      </c>
      <c r="P45" s="19">
        <v>25</v>
      </c>
      <c r="Q45" s="19">
        <v>223</v>
      </c>
      <c r="R45" s="19">
        <v>85.9</v>
      </c>
      <c r="S45" s="19">
        <v>12</v>
      </c>
      <c r="T45" s="15">
        <v>74</v>
      </c>
      <c r="U45" s="14">
        <v>387</v>
      </c>
      <c r="V45" s="19">
        <v>1862</v>
      </c>
      <c r="W45" s="19">
        <v>15</v>
      </c>
      <c r="X45" s="15">
        <v>103</v>
      </c>
      <c r="Y45" s="14">
        <v>18</v>
      </c>
      <c r="Z45" s="15">
        <v>18</v>
      </c>
      <c r="AA45" s="14">
        <v>20</v>
      </c>
      <c r="AB45" s="15">
        <v>196</v>
      </c>
      <c r="AC45" s="14">
        <v>71</v>
      </c>
      <c r="AD45" s="15">
        <v>1550</v>
      </c>
      <c r="AE45" s="4">
        <v>17</v>
      </c>
      <c r="AF45" s="3">
        <v>15</v>
      </c>
      <c r="AG45" s="3">
        <v>17</v>
      </c>
      <c r="AH45" s="3">
        <v>10</v>
      </c>
      <c r="AI45" s="14">
        <v>46</v>
      </c>
      <c r="AJ45" s="15">
        <v>2148</v>
      </c>
      <c r="AK45" s="14">
        <v>448</v>
      </c>
      <c r="AL45" s="19">
        <v>5993</v>
      </c>
      <c r="AM45" s="19">
        <v>990</v>
      </c>
      <c r="AN45" s="15">
        <v>327</v>
      </c>
      <c r="AO45" s="14">
        <v>333</v>
      </c>
      <c r="AP45" s="19">
        <v>495</v>
      </c>
      <c r="AQ45" s="19">
        <v>3656</v>
      </c>
      <c r="AR45" s="19">
        <v>20</v>
      </c>
      <c r="AS45" s="19">
        <v>186</v>
      </c>
      <c r="AT45" s="19">
        <v>26</v>
      </c>
      <c r="AU45" s="15">
        <v>141</v>
      </c>
      <c r="AV45" s="14">
        <v>469</v>
      </c>
      <c r="AW45" s="19">
        <v>2337</v>
      </c>
      <c r="AX45" s="19">
        <v>26</v>
      </c>
      <c r="AY45" s="15">
        <v>122</v>
      </c>
      <c r="AZ45" s="14">
        <v>6</v>
      </c>
      <c r="BA45" s="15">
        <v>7</v>
      </c>
    </row>
    <row r="46" spans="1:53" x14ac:dyDescent="0.25">
      <c r="A46" s="4" t="s">
        <v>26</v>
      </c>
      <c r="B46" s="40">
        <v>2008</v>
      </c>
      <c r="C46" s="14">
        <v>0</v>
      </c>
      <c r="D46" s="19">
        <v>16</v>
      </c>
      <c r="E46" s="74" t="s">
        <v>96</v>
      </c>
      <c r="F46" s="19">
        <v>-13.1</v>
      </c>
      <c r="G46" s="19">
        <v>-4</v>
      </c>
      <c r="H46" s="15">
        <v>-9.1</v>
      </c>
      <c r="I46" s="14">
        <v>268</v>
      </c>
      <c r="J46" s="19">
        <v>4292</v>
      </c>
      <c r="K46" s="19">
        <v>913</v>
      </c>
      <c r="L46" s="15">
        <v>234</v>
      </c>
      <c r="M46" s="14">
        <v>281</v>
      </c>
      <c r="N46" s="19">
        <v>509</v>
      </c>
      <c r="O46" s="19">
        <v>2960</v>
      </c>
      <c r="P46" s="19">
        <v>18</v>
      </c>
      <c r="Q46" s="19">
        <v>143</v>
      </c>
      <c r="R46" s="19">
        <v>71.3</v>
      </c>
      <c r="S46" s="19">
        <v>52</v>
      </c>
      <c r="T46" s="15">
        <v>339</v>
      </c>
      <c r="U46" s="14">
        <v>352</v>
      </c>
      <c r="V46" s="19">
        <v>1332</v>
      </c>
      <c r="W46" s="19">
        <v>10</v>
      </c>
      <c r="X46" s="15">
        <v>70</v>
      </c>
      <c r="Y46" s="14">
        <v>19</v>
      </c>
      <c r="Z46" s="15">
        <v>31</v>
      </c>
      <c r="AA46" s="14">
        <v>21</v>
      </c>
      <c r="AB46" s="15">
        <v>168</v>
      </c>
      <c r="AC46" s="14">
        <v>83</v>
      </c>
      <c r="AD46" s="15">
        <v>1807</v>
      </c>
      <c r="AE46" s="4">
        <v>8</v>
      </c>
      <c r="AF46" s="3">
        <v>7</v>
      </c>
      <c r="AG46" s="3">
        <v>14</v>
      </c>
      <c r="AH46" s="3">
        <v>14</v>
      </c>
      <c r="AI46" s="14">
        <v>90</v>
      </c>
      <c r="AJ46" s="15">
        <v>3951</v>
      </c>
      <c r="AK46" s="14">
        <v>517</v>
      </c>
      <c r="AL46" s="19">
        <v>6470</v>
      </c>
      <c r="AM46" s="19">
        <v>1009</v>
      </c>
      <c r="AN46" s="15">
        <v>350</v>
      </c>
      <c r="AO46" s="14">
        <v>303</v>
      </c>
      <c r="AP46" s="19">
        <v>443</v>
      </c>
      <c r="AQ46" s="19">
        <v>3716</v>
      </c>
      <c r="AR46" s="19">
        <v>25</v>
      </c>
      <c r="AS46" s="19">
        <v>188</v>
      </c>
      <c r="AT46" s="19">
        <v>30</v>
      </c>
      <c r="AU46" s="15">
        <v>191</v>
      </c>
      <c r="AV46" s="14">
        <v>536</v>
      </c>
      <c r="AW46" s="19">
        <v>2754</v>
      </c>
      <c r="AX46" s="19">
        <v>31</v>
      </c>
      <c r="AY46" s="15">
        <v>147</v>
      </c>
      <c r="AZ46" s="14">
        <v>4</v>
      </c>
      <c r="BA46" s="15">
        <v>16</v>
      </c>
    </row>
    <row r="47" spans="1:53" x14ac:dyDescent="0.25">
      <c r="A47" s="4" t="s">
        <v>24</v>
      </c>
      <c r="B47" s="40">
        <v>2008</v>
      </c>
      <c r="C47" s="14">
        <v>6</v>
      </c>
      <c r="D47" s="19">
        <v>10</v>
      </c>
      <c r="E47" s="74" t="s">
        <v>96</v>
      </c>
      <c r="F47" s="19">
        <v>2.9</v>
      </c>
      <c r="G47" s="19">
        <v>4.0999999999999996</v>
      </c>
      <c r="H47" s="15">
        <v>-1.2</v>
      </c>
      <c r="I47" s="14">
        <v>419</v>
      </c>
      <c r="J47" s="19">
        <v>5618</v>
      </c>
      <c r="K47" s="19">
        <v>1012</v>
      </c>
      <c r="L47" s="15">
        <v>299</v>
      </c>
      <c r="M47" s="14">
        <v>343</v>
      </c>
      <c r="N47" s="19">
        <v>541</v>
      </c>
      <c r="O47" s="19">
        <v>3813</v>
      </c>
      <c r="P47" s="19">
        <v>28</v>
      </c>
      <c r="Q47" s="19">
        <v>182</v>
      </c>
      <c r="R47" s="19">
        <v>93.3</v>
      </c>
      <c r="S47" s="19">
        <v>34</v>
      </c>
      <c r="T47" s="15">
        <v>231</v>
      </c>
      <c r="U47" s="14">
        <v>437</v>
      </c>
      <c r="V47" s="19">
        <v>1805</v>
      </c>
      <c r="W47" s="19">
        <v>11</v>
      </c>
      <c r="X47" s="15">
        <v>99</v>
      </c>
      <c r="Y47" s="14">
        <v>13</v>
      </c>
      <c r="Z47" s="15">
        <v>25</v>
      </c>
      <c r="AA47" s="14">
        <v>37</v>
      </c>
      <c r="AB47" s="15">
        <v>398</v>
      </c>
      <c r="AC47" s="14">
        <v>69</v>
      </c>
      <c r="AD47" s="15">
        <v>1387</v>
      </c>
      <c r="AE47" s="4">
        <v>22</v>
      </c>
      <c r="AF47" s="3">
        <v>19</v>
      </c>
      <c r="AG47" s="3">
        <v>12</v>
      </c>
      <c r="AH47" s="3">
        <v>8</v>
      </c>
      <c r="AI47" s="14">
        <v>65</v>
      </c>
      <c r="AJ47" s="15">
        <v>2691</v>
      </c>
      <c r="AK47" s="14">
        <v>380</v>
      </c>
      <c r="AL47" s="19">
        <v>5349</v>
      </c>
      <c r="AM47" s="19">
        <v>1003</v>
      </c>
      <c r="AN47" s="15">
        <v>295</v>
      </c>
      <c r="AO47" s="14">
        <v>287</v>
      </c>
      <c r="AP47" s="19">
        <v>518</v>
      </c>
      <c r="AQ47" s="19">
        <v>3244</v>
      </c>
      <c r="AR47" s="19">
        <v>22</v>
      </c>
      <c r="AS47" s="19">
        <v>141</v>
      </c>
      <c r="AT47" s="19">
        <v>27</v>
      </c>
      <c r="AU47" s="15">
        <v>140</v>
      </c>
      <c r="AV47" s="14">
        <v>458</v>
      </c>
      <c r="AW47" s="19">
        <v>2105</v>
      </c>
      <c r="AX47" s="19">
        <v>20</v>
      </c>
      <c r="AY47" s="15">
        <v>121</v>
      </c>
      <c r="AZ47" s="14">
        <v>22</v>
      </c>
      <c r="BA47" s="15">
        <v>6</v>
      </c>
    </row>
    <row r="48" spans="1:53" x14ac:dyDescent="0.25">
      <c r="A48" s="4" t="s">
        <v>12</v>
      </c>
      <c r="B48" s="40">
        <v>2008</v>
      </c>
      <c r="C48" s="14">
        <v>8</v>
      </c>
      <c r="D48" s="19">
        <v>8</v>
      </c>
      <c r="E48" s="74" t="s">
        <v>96</v>
      </c>
      <c r="F48" s="19">
        <v>-0.4</v>
      </c>
      <c r="G48" s="19">
        <v>2.8</v>
      </c>
      <c r="H48" s="15">
        <v>-3.2</v>
      </c>
      <c r="I48" s="14">
        <v>366</v>
      </c>
      <c r="J48" s="19">
        <v>6113</v>
      </c>
      <c r="K48" s="19">
        <v>1019</v>
      </c>
      <c r="L48" s="15">
        <v>340</v>
      </c>
      <c r="M48" s="14">
        <v>367</v>
      </c>
      <c r="N48" s="19">
        <v>555</v>
      </c>
      <c r="O48" s="19">
        <v>4267</v>
      </c>
      <c r="P48" s="19">
        <v>21</v>
      </c>
      <c r="Q48" s="19">
        <v>210</v>
      </c>
      <c r="R48" s="19">
        <v>88.4</v>
      </c>
      <c r="S48" s="19">
        <v>32</v>
      </c>
      <c r="T48" s="15">
        <v>207</v>
      </c>
      <c r="U48" s="14">
        <v>432</v>
      </c>
      <c r="V48" s="19">
        <v>1846</v>
      </c>
      <c r="W48" s="19">
        <v>16</v>
      </c>
      <c r="X48" s="15">
        <v>106</v>
      </c>
      <c r="Y48" s="14">
        <v>20</v>
      </c>
      <c r="Z48" s="15">
        <v>28</v>
      </c>
      <c r="AA48" s="14">
        <v>32</v>
      </c>
      <c r="AB48" s="15">
        <v>386</v>
      </c>
      <c r="AC48" s="14">
        <v>72</v>
      </c>
      <c r="AD48" s="15">
        <v>1550</v>
      </c>
      <c r="AE48" s="4">
        <v>20</v>
      </c>
      <c r="AF48" s="3">
        <v>19</v>
      </c>
      <c r="AG48" s="3">
        <v>13</v>
      </c>
      <c r="AH48" s="3">
        <v>10</v>
      </c>
      <c r="AI48" s="14">
        <v>53</v>
      </c>
      <c r="AJ48" s="15">
        <v>2242</v>
      </c>
      <c r="AK48" s="14">
        <v>394</v>
      </c>
      <c r="AL48" s="19">
        <v>5385</v>
      </c>
      <c r="AM48" s="19">
        <v>935</v>
      </c>
      <c r="AN48" s="15">
        <v>300</v>
      </c>
      <c r="AO48" s="14">
        <v>294</v>
      </c>
      <c r="AP48" s="19">
        <v>471</v>
      </c>
      <c r="AQ48" s="19">
        <v>3423</v>
      </c>
      <c r="AR48" s="19">
        <v>24</v>
      </c>
      <c r="AS48" s="19">
        <v>167</v>
      </c>
      <c r="AT48" s="19">
        <v>25</v>
      </c>
      <c r="AU48" s="15">
        <v>175</v>
      </c>
      <c r="AV48" s="14">
        <v>439</v>
      </c>
      <c r="AW48" s="19">
        <v>1962</v>
      </c>
      <c r="AX48" s="19">
        <v>18</v>
      </c>
      <c r="AY48" s="15">
        <v>114</v>
      </c>
      <c r="AZ48" s="14">
        <v>12</v>
      </c>
      <c r="BA48" s="15">
        <v>10</v>
      </c>
    </row>
    <row r="49" spans="1:53" x14ac:dyDescent="0.25">
      <c r="A49" s="4" t="s">
        <v>11</v>
      </c>
      <c r="B49" s="40">
        <v>2008</v>
      </c>
      <c r="C49" s="14">
        <v>12</v>
      </c>
      <c r="D49" s="19">
        <v>4</v>
      </c>
      <c r="E49" s="74" t="s">
        <v>97</v>
      </c>
      <c r="F49" s="19">
        <v>6.5</v>
      </c>
      <c r="G49" s="19">
        <v>2.6</v>
      </c>
      <c r="H49" s="15">
        <v>3.9</v>
      </c>
      <c r="I49" s="14">
        <v>377</v>
      </c>
      <c r="J49" s="19">
        <v>5368</v>
      </c>
      <c r="K49" s="19">
        <v>969</v>
      </c>
      <c r="L49" s="15">
        <v>321</v>
      </c>
      <c r="M49" s="14">
        <v>393</v>
      </c>
      <c r="N49" s="19">
        <v>585</v>
      </c>
      <c r="O49" s="19">
        <v>4094</v>
      </c>
      <c r="P49" s="19">
        <v>27</v>
      </c>
      <c r="Q49" s="19">
        <v>220</v>
      </c>
      <c r="R49" s="19">
        <v>94.7</v>
      </c>
      <c r="S49" s="19">
        <v>14</v>
      </c>
      <c r="T49" s="15">
        <v>86</v>
      </c>
      <c r="U49" s="14">
        <v>370</v>
      </c>
      <c r="V49" s="19">
        <v>1274</v>
      </c>
      <c r="W49" s="19">
        <v>13</v>
      </c>
      <c r="X49" s="15">
        <v>80</v>
      </c>
      <c r="Y49" s="14">
        <v>12</v>
      </c>
      <c r="Z49" s="15">
        <v>13</v>
      </c>
      <c r="AA49" s="14">
        <v>22</v>
      </c>
      <c r="AB49" s="15">
        <v>132</v>
      </c>
      <c r="AC49" s="14">
        <v>63</v>
      </c>
      <c r="AD49" s="15">
        <v>1312</v>
      </c>
      <c r="AE49" s="4">
        <v>16</v>
      </c>
      <c r="AF49" s="3">
        <v>14</v>
      </c>
      <c r="AG49" s="3">
        <v>9</v>
      </c>
      <c r="AH49" s="3">
        <v>6</v>
      </c>
      <c r="AI49" s="14">
        <v>53</v>
      </c>
      <c r="AJ49" s="15">
        <v>2343</v>
      </c>
      <c r="AK49" s="14">
        <v>298</v>
      </c>
      <c r="AL49" s="19">
        <v>4975</v>
      </c>
      <c r="AM49" s="19">
        <v>983</v>
      </c>
      <c r="AN49" s="15">
        <v>305</v>
      </c>
      <c r="AO49" s="14">
        <v>329</v>
      </c>
      <c r="AP49" s="19">
        <v>481</v>
      </c>
      <c r="AQ49" s="19">
        <v>3009</v>
      </c>
      <c r="AR49" s="19">
        <v>6</v>
      </c>
      <c r="AS49" s="19">
        <v>165</v>
      </c>
      <c r="AT49" s="19">
        <v>30</v>
      </c>
      <c r="AU49" s="15">
        <v>200</v>
      </c>
      <c r="AV49" s="14">
        <v>472</v>
      </c>
      <c r="AW49" s="19">
        <v>1966</v>
      </c>
      <c r="AX49" s="19">
        <v>18</v>
      </c>
      <c r="AY49" s="15">
        <v>119</v>
      </c>
      <c r="AZ49" s="14">
        <v>15</v>
      </c>
      <c r="BA49" s="15">
        <v>11</v>
      </c>
    </row>
    <row r="50" spans="1:53" x14ac:dyDescent="0.25">
      <c r="A50" s="4" t="s">
        <v>14</v>
      </c>
      <c r="B50" s="40">
        <v>2008</v>
      </c>
      <c r="C50" s="14">
        <v>5</v>
      </c>
      <c r="D50" s="19">
        <v>11</v>
      </c>
      <c r="E50" s="74" t="s">
        <v>96</v>
      </c>
      <c r="F50" s="19">
        <v>-2.5</v>
      </c>
      <c r="G50" s="19">
        <v>-2.1</v>
      </c>
      <c r="H50" s="15">
        <v>-0.4</v>
      </c>
      <c r="I50" s="14">
        <v>302</v>
      </c>
      <c r="J50" s="19">
        <v>5106</v>
      </c>
      <c r="K50" s="19">
        <v>1005</v>
      </c>
      <c r="L50" s="15">
        <v>312</v>
      </c>
      <c r="M50" s="14">
        <v>335</v>
      </c>
      <c r="N50" s="19">
        <v>537</v>
      </c>
      <c r="O50" s="19">
        <v>3332</v>
      </c>
      <c r="P50" s="19">
        <v>15</v>
      </c>
      <c r="Q50" s="19">
        <v>183</v>
      </c>
      <c r="R50" s="19">
        <v>81.400000000000006</v>
      </c>
      <c r="S50" s="19">
        <v>42</v>
      </c>
      <c r="T50" s="15">
        <v>288</v>
      </c>
      <c r="U50" s="14">
        <v>426</v>
      </c>
      <c r="V50" s="19">
        <v>1774</v>
      </c>
      <c r="W50" s="19">
        <v>17</v>
      </c>
      <c r="X50" s="15">
        <v>107</v>
      </c>
      <c r="Y50" s="14">
        <v>13</v>
      </c>
      <c r="Z50" s="15">
        <v>23</v>
      </c>
      <c r="AA50" s="14">
        <v>29</v>
      </c>
      <c r="AB50" s="15">
        <v>275</v>
      </c>
      <c r="AC50" s="14">
        <v>74</v>
      </c>
      <c r="AD50" s="15">
        <v>1678</v>
      </c>
      <c r="AE50" s="4">
        <v>13</v>
      </c>
      <c r="AF50" s="3">
        <v>10</v>
      </c>
      <c r="AG50" s="3">
        <v>12</v>
      </c>
      <c r="AH50" s="3">
        <v>9</v>
      </c>
      <c r="AI50" s="14">
        <v>67</v>
      </c>
      <c r="AJ50" s="15">
        <v>2901</v>
      </c>
      <c r="AK50" s="14">
        <v>367</v>
      </c>
      <c r="AL50" s="19">
        <v>5295</v>
      </c>
      <c r="AM50" s="19">
        <v>922</v>
      </c>
      <c r="AN50" s="15">
        <v>289</v>
      </c>
      <c r="AO50" s="14">
        <v>297</v>
      </c>
      <c r="AP50" s="19">
        <v>465</v>
      </c>
      <c r="AQ50" s="19">
        <v>3586</v>
      </c>
      <c r="AR50" s="19">
        <v>25</v>
      </c>
      <c r="AS50" s="19">
        <v>166</v>
      </c>
      <c r="AT50" s="19">
        <v>29</v>
      </c>
      <c r="AU50" s="15">
        <v>191</v>
      </c>
      <c r="AV50" s="14">
        <v>428</v>
      </c>
      <c r="AW50" s="19">
        <v>1709</v>
      </c>
      <c r="AX50" s="19">
        <v>14</v>
      </c>
      <c r="AY50" s="15">
        <v>98</v>
      </c>
      <c r="AZ50" s="14">
        <v>13</v>
      </c>
      <c r="BA50" s="15">
        <v>4</v>
      </c>
    </row>
    <row r="51" spans="1:53" x14ac:dyDescent="0.25">
      <c r="A51" s="4" t="s">
        <v>18</v>
      </c>
      <c r="B51" s="40">
        <v>2008</v>
      </c>
      <c r="C51" s="14">
        <v>2</v>
      </c>
      <c r="D51" s="19">
        <v>14</v>
      </c>
      <c r="E51" s="74" t="s">
        <v>96</v>
      </c>
      <c r="F51" s="19">
        <v>-9.1999999999999993</v>
      </c>
      <c r="G51" s="19">
        <v>-3.9</v>
      </c>
      <c r="H51" s="15">
        <v>-5.3</v>
      </c>
      <c r="I51" s="14">
        <v>291</v>
      </c>
      <c r="J51" s="19">
        <v>4939</v>
      </c>
      <c r="K51" s="19">
        <v>957</v>
      </c>
      <c r="L51" s="15">
        <v>273</v>
      </c>
      <c r="M51" s="14">
        <v>310</v>
      </c>
      <c r="N51" s="19">
        <v>541</v>
      </c>
      <c r="O51" s="19">
        <v>3129</v>
      </c>
      <c r="P51" s="19">
        <v>23</v>
      </c>
      <c r="Q51" s="19">
        <v>161</v>
      </c>
      <c r="R51" s="19">
        <v>77.5</v>
      </c>
      <c r="S51" s="19">
        <v>37</v>
      </c>
      <c r="T51" s="15">
        <v>229</v>
      </c>
      <c r="U51" s="14">
        <v>379</v>
      </c>
      <c r="V51" s="19">
        <v>1810</v>
      </c>
      <c r="W51" s="19">
        <v>9</v>
      </c>
      <c r="X51" s="15">
        <v>94</v>
      </c>
      <c r="Y51" s="14">
        <v>16</v>
      </c>
      <c r="Z51" s="15">
        <v>20</v>
      </c>
      <c r="AA51" s="14">
        <v>26</v>
      </c>
      <c r="AB51" s="15">
        <v>169</v>
      </c>
      <c r="AC51" s="14">
        <v>80</v>
      </c>
      <c r="AD51" s="15">
        <v>1716</v>
      </c>
      <c r="AE51" s="4">
        <v>16</v>
      </c>
      <c r="AF51" s="3">
        <v>13</v>
      </c>
      <c r="AG51" s="3">
        <v>6</v>
      </c>
      <c r="AH51" s="3">
        <v>3</v>
      </c>
      <c r="AI51" s="14">
        <v>82</v>
      </c>
      <c r="AJ51" s="15">
        <v>3624</v>
      </c>
      <c r="AK51" s="14">
        <v>440</v>
      </c>
      <c r="AL51" s="19">
        <v>6291</v>
      </c>
      <c r="AM51" s="19">
        <v>1041</v>
      </c>
      <c r="AN51" s="15">
        <v>344</v>
      </c>
      <c r="AO51" s="14">
        <v>348</v>
      </c>
      <c r="AP51" s="19">
        <v>522</v>
      </c>
      <c r="AQ51" s="19">
        <v>3748</v>
      </c>
      <c r="AR51" s="19">
        <v>21</v>
      </c>
      <c r="AS51" s="19">
        <v>195</v>
      </c>
      <c r="AT51" s="19">
        <v>10</v>
      </c>
      <c r="AU51" s="15">
        <v>62</v>
      </c>
      <c r="AV51" s="14">
        <v>509</v>
      </c>
      <c r="AW51" s="19">
        <v>2543</v>
      </c>
      <c r="AX51" s="19">
        <v>25</v>
      </c>
      <c r="AY51" s="15">
        <v>133</v>
      </c>
      <c r="AZ51" s="14">
        <v>13</v>
      </c>
      <c r="BA51" s="15">
        <v>16</v>
      </c>
    </row>
    <row r="52" spans="1:53" x14ac:dyDescent="0.25">
      <c r="A52" s="4" t="s">
        <v>5</v>
      </c>
      <c r="B52" s="40">
        <v>2008</v>
      </c>
      <c r="C52" s="14">
        <v>11</v>
      </c>
      <c r="D52" s="19">
        <v>5</v>
      </c>
      <c r="E52" s="74" t="s">
        <v>97</v>
      </c>
      <c r="F52" s="19">
        <v>-0.5</v>
      </c>
      <c r="G52" s="19">
        <v>-2.4</v>
      </c>
      <c r="H52" s="15">
        <v>1.8</v>
      </c>
      <c r="I52" s="14">
        <v>345</v>
      </c>
      <c r="J52" s="19">
        <v>5529</v>
      </c>
      <c r="K52" s="19">
        <v>965</v>
      </c>
      <c r="L52" s="15">
        <v>308</v>
      </c>
      <c r="M52" s="14">
        <v>330</v>
      </c>
      <c r="N52" s="19">
        <v>491</v>
      </c>
      <c r="O52" s="19">
        <v>3632</v>
      </c>
      <c r="P52" s="19">
        <v>20</v>
      </c>
      <c r="Q52" s="19">
        <v>184</v>
      </c>
      <c r="R52" s="19">
        <v>97.6</v>
      </c>
      <c r="S52" s="19">
        <v>26</v>
      </c>
      <c r="T52" s="15">
        <v>129</v>
      </c>
      <c r="U52" s="14">
        <v>448</v>
      </c>
      <c r="V52" s="19">
        <v>1897</v>
      </c>
      <c r="W52" s="19">
        <v>18</v>
      </c>
      <c r="X52" s="15">
        <v>111</v>
      </c>
      <c r="Y52" s="14">
        <v>7</v>
      </c>
      <c r="Z52" s="15">
        <v>18</v>
      </c>
      <c r="AA52" s="14">
        <v>28</v>
      </c>
      <c r="AB52" s="15">
        <v>285</v>
      </c>
      <c r="AC52" s="14">
        <v>60</v>
      </c>
      <c r="AD52" s="15">
        <v>1213</v>
      </c>
      <c r="AE52" s="4">
        <v>11</v>
      </c>
      <c r="AF52" s="3">
        <v>11</v>
      </c>
      <c r="AG52" s="3">
        <v>14</v>
      </c>
      <c r="AH52" s="3">
        <v>10</v>
      </c>
      <c r="AI52" s="14">
        <v>74</v>
      </c>
      <c r="AJ52" s="15">
        <v>3249</v>
      </c>
      <c r="AK52" s="14">
        <v>317</v>
      </c>
      <c r="AL52" s="19">
        <v>5264</v>
      </c>
      <c r="AM52" s="19">
        <v>979</v>
      </c>
      <c r="AN52" s="15">
        <v>296</v>
      </c>
      <c r="AO52" s="14">
        <v>320</v>
      </c>
      <c r="AP52" s="19">
        <v>551</v>
      </c>
      <c r="AQ52" s="19">
        <v>3644</v>
      </c>
      <c r="AR52" s="19">
        <v>18</v>
      </c>
      <c r="AS52" s="19">
        <v>173</v>
      </c>
      <c r="AT52" s="19">
        <v>40</v>
      </c>
      <c r="AU52" s="15">
        <v>218</v>
      </c>
      <c r="AV52" s="14">
        <v>388</v>
      </c>
      <c r="AW52" s="19">
        <v>1620</v>
      </c>
      <c r="AX52" s="19">
        <v>11</v>
      </c>
      <c r="AY52" s="15">
        <v>96</v>
      </c>
      <c r="AZ52" s="14">
        <v>18</v>
      </c>
      <c r="BA52" s="15">
        <v>12</v>
      </c>
    </row>
    <row r="53" spans="1:53" x14ac:dyDescent="0.25">
      <c r="A53" s="4" t="s">
        <v>23</v>
      </c>
      <c r="B53" s="40">
        <v>2008</v>
      </c>
      <c r="C53" s="14">
        <v>10</v>
      </c>
      <c r="D53" s="19">
        <v>6</v>
      </c>
      <c r="E53" s="74" t="s">
        <v>97</v>
      </c>
      <c r="F53" s="19">
        <v>4</v>
      </c>
      <c r="G53" s="19">
        <v>1.1000000000000001</v>
      </c>
      <c r="H53" s="15">
        <v>2.9</v>
      </c>
      <c r="I53" s="14">
        <v>379</v>
      </c>
      <c r="J53" s="19">
        <v>5288</v>
      </c>
      <c r="K53" s="19">
        <v>1014</v>
      </c>
      <c r="L53" s="15">
        <v>292</v>
      </c>
      <c r="M53" s="14">
        <v>267</v>
      </c>
      <c r="N53" s="19">
        <v>452</v>
      </c>
      <c r="O53" s="19">
        <v>2956</v>
      </c>
      <c r="P53" s="19">
        <v>22</v>
      </c>
      <c r="Q53" s="19">
        <v>150</v>
      </c>
      <c r="R53" s="19">
        <v>81.5</v>
      </c>
      <c r="S53" s="19">
        <v>43</v>
      </c>
      <c r="T53" s="15">
        <v>261</v>
      </c>
      <c r="U53" s="14">
        <v>519</v>
      </c>
      <c r="V53" s="19">
        <v>2332</v>
      </c>
      <c r="W53" s="19">
        <v>15</v>
      </c>
      <c r="X53" s="15">
        <v>119</v>
      </c>
      <c r="Y53" s="14">
        <v>17</v>
      </c>
      <c r="Z53" s="15">
        <v>31</v>
      </c>
      <c r="AA53" s="14">
        <v>34</v>
      </c>
      <c r="AB53" s="15">
        <v>273</v>
      </c>
      <c r="AC53" s="14">
        <v>61</v>
      </c>
      <c r="AD53" s="15">
        <v>1369</v>
      </c>
      <c r="AE53" s="4">
        <v>19</v>
      </c>
      <c r="AF53" s="3">
        <v>17</v>
      </c>
      <c r="AG53" s="3">
        <v>15</v>
      </c>
      <c r="AH53" s="3">
        <v>12</v>
      </c>
      <c r="AI53" s="14">
        <v>74</v>
      </c>
      <c r="AJ53" s="15">
        <v>3471</v>
      </c>
      <c r="AK53" s="14">
        <v>333</v>
      </c>
      <c r="AL53" s="19">
        <v>4679</v>
      </c>
      <c r="AM53" s="19">
        <v>946</v>
      </c>
      <c r="AN53" s="15">
        <v>255</v>
      </c>
      <c r="AO53" s="14">
        <v>324</v>
      </c>
      <c r="AP53" s="19">
        <v>530</v>
      </c>
      <c r="AQ53" s="19">
        <v>3449</v>
      </c>
      <c r="AR53" s="19">
        <v>15</v>
      </c>
      <c r="AS53" s="19">
        <v>163</v>
      </c>
      <c r="AT53" s="19">
        <v>45</v>
      </c>
      <c r="AU53" s="15">
        <v>304</v>
      </c>
      <c r="AV53" s="14">
        <v>371</v>
      </c>
      <c r="AW53" s="19">
        <v>1230</v>
      </c>
      <c r="AX53" s="19">
        <v>10</v>
      </c>
      <c r="AY53" s="15">
        <v>72</v>
      </c>
      <c r="AZ53" s="14">
        <v>12</v>
      </c>
      <c r="BA53" s="15">
        <v>13</v>
      </c>
    </row>
    <row r="54" spans="1:53" x14ac:dyDescent="0.25">
      <c r="A54" s="4" t="s">
        <v>3</v>
      </c>
      <c r="B54" s="40">
        <v>2008</v>
      </c>
      <c r="C54" s="14">
        <v>11</v>
      </c>
      <c r="D54" s="19">
        <v>5</v>
      </c>
      <c r="E54" s="74" t="s">
        <v>96</v>
      </c>
      <c r="F54" s="19">
        <v>3.9</v>
      </c>
      <c r="G54" s="19">
        <v>2.2999999999999998</v>
      </c>
      <c r="H54" s="15">
        <v>1.6</v>
      </c>
      <c r="I54" s="14">
        <v>410</v>
      </c>
      <c r="J54" s="19">
        <v>5847</v>
      </c>
      <c r="K54" s="19">
        <v>1095</v>
      </c>
      <c r="L54" s="15">
        <v>356</v>
      </c>
      <c r="M54" s="14">
        <v>339</v>
      </c>
      <c r="N54" s="19">
        <v>534</v>
      </c>
      <c r="O54" s="19">
        <v>3569</v>
      </c>
      <c r="P54" s="19">
        <v>21</v>
      </c>
      <c r="Q54" s="19">
        <v>186</v>
      </c>
      <c r="R54" s="19">
        <v>89.1</v>
      </c>
      <c r="S54" s="19">
        <v>48</v>
      </c>
      <c r="T54" s="15">
        <v>221</v>
      </c>
      <c r="U54" s="14">
        <v>513</v>
      </c>
      <c r="V54" s="19">
        <v>2278</v>
      </c>
      <c r="W54" s="19">
        <v>21</v>
      </c>
      <c r="X54" s="15">
        <v>145</v>
      </c>
      <c r="Y54" s="14">
        <v>11</v>
      </c>
      <c r="Z54" s="15">
        <v>17</v>
      </c>
      <c r="AA54" s="14">
        <v>36</v>
      </c>
      <c r="AB54" s="15">
        <v>371</v>
      </c>
      <c r="AC54" s="14">
        <v>62</v>
      </c>
      <c r="AD54" s="15">
        <v>1562</v>
      </c>
      <c r="AE54" s="4">
        <v>28</v>
      </c>
      <c r="AF54" s="3">
        <v>26</v>
      </c>
      <c r="AG54" s="3">
        <v>12</v>
      </c>
      <c r="AH54" s="3">
        <v>10</v>
      </c>
      <c r="AI54" s="14">
        <v>50</v>
      </c>
      <c r="AJ54" s="15">
        <v>2200</v>
      </c>
      <c r="AK54" s="14">
        <v>309</v>
      </c>
      <c r="AL54" s="19">
        <v>4944</v>
      </c>
      <c r="AM54" s="19">
        <v>920</v>
      </c>
      <c r="AN54" s="15">
        <v>268</v>
      </c>
      <c r="AO54" s="14">
        <v>288</v>
      </c>
      <c r="AP54" s="19">
        <v>474</v>
      </c>
      <c r="AQ54" s="19">
        <v>3222</v>
      </c>
      <c r="AR54" s="19">
        <v>27</v>
      </c>
      <c r="AS54" s="19">
        <v>176</v>
      </c>
      <c r="AT54" s="19">
        <v>31</v>
      </c>
      <c r="AU54" s="15">
        <v>239</v>
      </c>
      <c r="AV54" s="14">
        <v>415</v>
      </c>
      <c r="AW54" s="19">
        <v>1722</v>
      </c>
      <c r="AX54" s="19">
        <v>8</v>
      </c>
      <c r="AY54" s="15">
        <v>78</v>
      </c>
      <c r="AZ54" s="14">
        <v>14</v>
      </c>
      <c r="BA54" s="15">
        <v>8</v>
      </c>
    </row>
    <row r="55" spans="1:53" x14ac:dyDescent="0.25">
      <c r="A55" s="4" t="s">
        <v>27</v>
      </c>
      <c r="B55" s="40">
        <v>2008</v>
      </c>
      <c r="C55" s="14">
        <v>8</v>
      </c>
      <c r="D55" s="19">
        <v>8</v>
      </c>
      <c r="E55" s="74" t="s">
        <v>96</v>
      </c>
      <c r="F55" s="19">
        <v>4</v>
      </c>
      <c r="G55" s="19">
        <v>6.8</v>
      </c>
      <c r="H55" s="15">
        <v>-2.8</v>
      </c>
      <c r="I55" s="14">
        <v>463</v>
      </c>
      <c r="J55" s="19">
        <v>6571</v>
      </c>
      <c r="K55" s="19">
        <v>1047</v>
      </c>
      <c r="L55" s="15">
        <v>354</v>
      </c>
      <c r="M55" s="14">
        <v>413</v>
      </c>
      <c r="N55" s="19">
        <v>636</v>
      </c>
      <c r="O55" s="19">
        <v>4977</v>
      </c>
      <c r="P55" s="19">
        <v>34</v>
      </c>
      <c r="Q55" s="19">
        <v>232</v>
      </c>
      <c r="R55" s="19">
        <v>95.4</v>
      </c>
      <c r="S55" s="19">
        <v>13</v>
      </c>
      <c r="T55" s="15">
        <v>92</v>
      </c>
      <c r="U55" s="14">
        <v>398</v>
      </c>
      <c r="V55" s="19">
        <v>1594</v>
      </c>
      <c r="W55" s="19">
        <v>20</v>
      </c>
      <c r="X55" s="15">
        <v>103</v>
      </c>
      <c r="Y55" s="14">
        <v>18</v>
      </c>
      <c r="Z55" s="15">
        <v>18</v>
      </c>
      <c r="AA55" s="14">
        <v>26</v>
      </c>
      <c r="AB55" s="15">
        <v>310</v>
      </c>
      <c r="AC55" s="14">
        <v>62</v>
      </c>
      <c r="AD55" s="15">
        <v>1496</v>
      </c>
      <c r="AE55" s="4">
        <v>15</v>
      </c>
      <c r="AF55" s="3">
        <v>14</v>
      </c>
      <c r="AG55" s="3">
        <v>12</v>
      </c>
      <c r="AH55" s="3">
        <v>8</v>
      </c>
      <c r="AI55" s="14">
        <v>53</v>
      </c>
      <c r="AJ55" s="15">
        <v>2364</v>
      </c>
      <c r="AK55" s="14">
        <v>393</v>
      </c>
      <c r="AL55" s="19">
        <v>5432</v>
      </c>
      <c r="AM55" s="19">
        <v>999</v>
      </c>
      <c r="AN55" s="15">
        <v>299</v>
      </c>
      <c r="AO55" s="14">
        <v>299</v>
      </c>
      <c r="AP55" s="19">
        <v>526</v>
      </c>
      <c r="AQ55" s="19">
        <v>3547</v>
      </c>
      <c r="AR55" s="19">
        <v>21</v>
      </c>
      <c r="AS55" s="19">
        <v>180</v>
      </c>
      <c r="AT55" s="19">
        <v>28</v>
      </c>
      <c r="AU55" s="15">
        <v>161</v>
      </c>
      <c r="AV55" s="14">
        <v>445</v>
      </c>
      <c r="AW55" s="19">
        <v>1885</v>
      </c>
      <c r="AX55" s="19">
        <v>14</v>
      </c>
      <c r="AY55" s="15">
        <v>100</v>
      </c>
      <c r="AZ55" s="14">
        <v>15</v>
      </c>
      <c r="BA55" s="15">
        <v>7</v>
      </c>
    </row>
    <row r="56" spans="1:53" x14ac:dyDescent="0.25">
      <c r="A56" s="4" t="s">
        <v>21</v>
      </c>
      <c r="B56" s="40">
        <v>2008</v>
      </c>
      <c r="C56" s="14">
        <v>12</v>
      </c>
      <c r="D56" s="19">
        <v>4</v>
      </c>
      <c r="E56" s="74" t="s">
        <v>97</v>
      </c>
      <c r="F56" s="19">
        <v>8.4</v>
      </c>
      <c r="G56" s="19">
        <v>5.5</v>
      </c>
      <c r="H56" s="15">
        <v>2.8</v>
      </c>
      <c r="I56" s="14">
        <v>427</v>
      </c>
      <c r="J56" s="19">
        <v>5695</v>
      </c>
      <c r="K56" s="19">
        <v>1021</v>
      </c>
      <c r="L56" s="15">
        <v>338</v>
      </c>
      <c r="M56" s="14">
        <v>298</v>
      </c>
      <c r="N56" s="19">
        <v>491</v>
      </c>
      <c r="O56" s="19">
        <v>3177</v>
      </c>
      <c r="P56" s="19">
        <v>23</v>
      </c>
      <c r="Q56" s="19">
        <v>176</v>
      </c>
      <c r="R56" s="19">
        <v>88.2</v>
      </c>
      <c r="S56" s="19">
        <v>28</v>
      </c>
      <c r="T56" s="15">
        <v>176</v>
      </c>
      <c r="U56" s="14">
        <v>502</v>
      </c>
      <c r="V56" s="19">
        <v>2518</v>
      </c>
      <c r="W56" s="19">
        <v>19</v>
      </c>
      <c r="X56" s="15">
        <v>130</v>
      </c>
      <c r="Y56" s="14">
        <v>10</v>
      </c>
      <c r="Z56" s="15">
        <v>18</v>
      </c>
      <c r="AA56" s="14">
        <v>39</v>
      </c>
      <c r="AB56" s="15">
        <v>337</v>
      </c>
      <c r="AC56" s="14">
        <v>55</v>
      </c>
      <c r="AD56" s="15">
        <v>1284</v>
      </c>
      <c r="AE56" s="4">
        <v>31</v>
      </c>
      <c r="AF56" s="3">
        <v>30</v>
      </c>
      <c r="AG56" s="3">
        <v>8</v>
      </c>
      <c r="AH56" s="3">
        <v>6</v>
      </c>
      <c r="AI56" s="14">
        <v>64</v>
      </c>
      <c r="AJ56" s="15">
        <v>2816</v>
      </c>
      <c r="AK56" s="14">
        <v>294</v>
      </c>
      <c r="AL56" s="19">
        <v>4672</v>
      </c>
      <c r="AM56" s="19">
        <v>931</v>
      </c>
      <c r="AN56" s="15">
        <v>268</v>
      </c>
      <c r="AO56" s="14">
        <v>296</v>
      </c>
      <c r="AP56" s="19">
        <v>503</v>
      </c>
      <c r="AQ56" s="19">
        <v>3139</v>
      </c>
      <c r="AR56" s="19">
        <v>17</v>
      </c>
      <c r="AS56" s="19">
        <v>165</v>
      </c>
      <c r="AT56" s="19">
        <v>42</v>
      </c>
      <c r="AU56" s="15">
        <v>288</v>
      </c>
      <c r="AV56" s="14">
        <v>386</v>
      </c>
      <c r="AW56" s="19">
        <v>1533</v>
      </c>
      <c r="AX56" s="19">
        <v>14</v>
      </c>
      <c r="AY56" s="15">
        <v>78</v>
      </c>
      <c r="AZ56" s="14">
        <v>17</v>
      </c>
      <c r="BA56" s="15">
        <v>5</v>
      </c>
    </row>
    <row r="57" spans="1:53" x14ac:dyDescent="0.25">
      <c r="A57" s="4" t="s">
        <v>4</v>
      </c>
      <c r="B57" s="40">
        <v>2008</v>
      </c>
      <c r="C57" s="14">
        <v>9</v>
      </c>
      <c r="D57" s="19">
        <v>7</v>
      </c>
      <c r="E57" s="74" t="s">
        <v>96</v>
      </c>
      <c r="F57" s="19">
        <v>0.2</v>
      </c>
      <c r="G57" s="19">
        <v>2.2000000000000002</v>
      </c>
      <c r="H57" s="15">
        <v>-1.9</v>
      </c>
      <c r="I57" s="14">
        <v>405</v>
      </c>
      <c r="J57" s="19">
        <v>5307</v>
      </c>
      <c r="K57" s="19">
        <v>981</v>
      </c>
      <c r="L57" s="15">
        <v>308</v>
      </c>
      <c r="M57" s="14">
        <v>347</v>
      </c>
      <c r="N57" s="19">
        <v>529</v>
      </c>
      <c r="O57" s="19">
        <v>3303</v>
      </c>
      <c r="P57" s="19">
        <v>22</v>
      </c>
      <c r="Q57" s="19">
        <v>186</v>
      </c>
      <c r="R57" s="19">
        <v>80.2</v>
      </c>
      <c r="S57" s="19">
        <v>30</v>
      </c>
      <c r="T57" s="15">
        <v>213</v>
      </c>
      <c r="U57" s="14">
        <v>422</v>
      </c>
      <c r="V57" s="19">
        <v>2004</v>
      </c>
      <c r="W57" s="19">
        <v>20</v>
      </c>
      <c r="X57" s="15">
        <v>94</v>
      </c>
      <c r="Y57" s="14">
        <v>23</v>
      </c>
      <c r="Z57" s="15">
        <v>22</v>
      </c>
      <c r="AA57" s="14">
        <v>29</v>
      </c>
      <c r="AB57" s="15">
        <v>303</v>
      </c>
      <c r="AC57" s="14">
        <v>61</v>
      </c>
      <c r="AD57" s="15">
        <v>1407</v>
      </c>
      <c r="AE57" s="4">
        <v>22</v>
      </c>
      <c r="AF57" s="3">
        <v>18</v>
      </c>
      <c r="AG57" s="3">
        <v>7</v>
      </c>
      <c r="AH57" s="3">
        <v>6</v>
      </c>
      <c r="AI57" s="14">
        <v>59</v>
      </c>
      <c r="AJ57" s="15">
        <v>2490</v>
      </c>
      <c r="AK57" s="14">
        <v>356</v>
      </c>
      <c r="AL57" s="19">
        <v>5270</v>
      </c>
      <c r="AM57" s="19">
        <v>1020</v>
      </c>
      <c r="AN57" s="15">
        <v>315</v>
      </c>
      <c r="AO57" s="14">
        <v>368</v>
      </c>
      <c r="AP57" s="19">
        <v>572</v>
      </c>
      <c r="AQ57" s="19">
        <v>3752</v>
      </c>
      <c r="AR57" s="19">
        <v>23</v>
      </c>
      <c r="AS57" s="19">
        <v>209</v>
      </c>
      <c r="AT57" s="19">
        <v>41</v>
      </c>
      <c r="AU57" s="15">
        <v>253</v>
      </c>
      <c r="AV57" s="14">
        <v>407</v>
      </c>
      <c r="AW57" s="19">
        <v>1518</v>
      </c>
      <c r="AX57" s="19">
        <v>10</v>
      </c>
      <c r="AY57" s="15">
        <v>86</v>
      </c>
      <c r="AZ57" s="14">
        <v>14</v>
      </c>
      <c r="BA57" s="15">
        <v>16</v>
      </c>
    </row>
    <row r="58" spans="1:53" x14ac:dyDescent="0.25">
      <c r="A58" s="4" t="s">
        <v>17</v>
      </c>
      <c r="B58" s="40">
        <v>2008</v>
      </c>
      <c r="C58" s="14">
        <v>5</v>
      </c>
      <c r="D58" s="19">
        <v>11</v>
      </c>
      <c r="E58" s="74" t="s">
        <v>96</v>
      </c>
      <c r="F58" s="19">
        <v>-7.5</v>
      </c>
      <c r="G58" s="19">
        <v>-6.5</v>
      </c>
      <c r="H58" s="15">
        <v>-1</v>
      </c>
      <c r="I58" s="14">
        <v>263</v>
      </c>
      <c r="J58" s="19">
        <v>4356</v>
      </c>
      <c r="K58" s="19">
        <v>919</v>
      </c>
      <c r="L58" s="15">
        <v>225</v>
      </c>
      <c r="M58" s="14">
        <v>222</v>
      </c>
      <c r="N58" s="19">
        <v>421</v>
      </c>
      <c r="O58" s="19">
        <v>2369</v>
      </c>
      <c r="P58" s="19">
        <v>13</v>
      </c>
      <c r="Q58" s="19">
        <v>123</v>
      </c>
      <c r="R58" s="19">
        <v>71.599999999999994</v>
      </c>
      <c r="S58" s="19">
        <v>39</v>
      </c>
      <c r="T58" s="15">
        <v>270</v>
      </c>
      <c r="U58" s="14">
        <v>459</v>
      </c>
      <c r="V58" s="19">
        <v>1987</v>
      </c>
      <c r="W58" s="19">
        <v>9</v>
      </c>
      <c r="X58" s="15">
        <v>87</v>
      </c>
      <c r="Y58" s="14">
        <v>11</v>
      </c>
      <c r="Z58" s="15">
        <v>28</v>
      </c>
      <c r="AA58" s="14">
        <v>44</v>
      </c>
      <c r="AB58" s="15">
        <v>570</v>
      </c>
      <c r="AC58" s="14">
        <v>78</v>
      </c>
      <c r="AD58" s="15">
        <v>1777</v>
      </c>
      <c r="AE58" s="4">
        <v>19</v>
      </c>
      <c r="AF58" s="3">
        <v>19</v>
      </c>
      <c r="AG58" s="3">
        <v>11</v>
      </c>
      <c r="AH58" s="3">
        <v>5</v>
      </c>
      <c r="AI58" s="14">
        <v>90</v>
      </c>
      <c r="AJ58" s="15">
        <v>4392</v>
      </c>
      <c r="AK58" s="14">
        <v>388</v>
      </c>
      <c r="AL58" s="19">
        <v>5775</v>
      </c>
      <c r="AM58" s="19">
        <v>1045</v>
      </c>
      <c r="AN58" s="15">
        <v>325</v>
      </c>
      <c r="AO58" s="14">
        <v>266</v>
      </c>
      <c r="AP58" s="19">
        <v>471</v>
      </c>
      <c r="AQ58" s="19">
        <v>3220</v>
      </c>
      <c r="AR58" s="19">
        <v>20</v>
      </c>
      <c r="AS58" s="19">
        <v>166</v>
      </c>
      <c r="AT58" s="19">
        <v>32</v>
      </c>
      <c r="AU58" s="15">
        <v>188</v>
      </c>
      <c r="AV58" s="14">
        <v>542</v>
      </c>
      <c r="AW58" s="19">
        <v>2555</v>
      </c>
      <c r="AX58" s="19">
        <v>23</v>
      </c>
      <c r="AY58" s="15">
        <v>129</v>
      </c>
      <c r="AZ58" s="14">
        <v>16</v>
      </c>
      <c r="BA58" s="15">
        <v>8</v>
      </c>
    </row>
    <row r="59" spans="1:53" x14ac:dyDescent="0.25">
      <c r="A59" s="4" t="s">
        <v>20</v>
      </c>
      <c r="B59" s="40">
        <v>2008</v>
      </c>
      <c r="C59" s="14">
        <v>9</v>
      </c>
      <c r="D59" s="19">
        <v>6</v>
      </c>
      <c r="E59" s="74" t="s">
        <v>97</v>
      </c>
      <c r="F59" s="19">
        <v>7.8</v>
      </c>
      <c r="G59" s="19">
        <v>4.7</v>
      </c>
      <c r="H59" s="15">
        <v>3.2</v>
      </c>
      <c r="I59" s="14">
        <v>416</v>
      </c>
      <c r="J59" s="19">
        <v>5608</v>
      </c>
      <c r="K59" s="19">
        <v>1056</v>
      </c>
      <c r="L59" s="15">
        <v>318</v>
      </c>
      <c r="M59" s="14">
        <v>362</v>
      </c>
      <c r="N59" s="19">
        <v>606</v>
      </c>
      <c r="O59" s="19">
        <v>3911</v>
      </c>
      <c r="P59" s="19">
        <v>23</v>
      </c>
      <c r="Q59" s="19">
        <v>204</v>
      </c>
      <c r="R59" s="19">
        <v>81.400000000000006</v>
      </c>
      <c r="S59" s="19">
        <v>23</v>
      </c>
      <c r="T59" s="15">
        <v>149</v>
      </c>
      <c r="U59" s="14">
        <v>427</v>
      </c>
      <c r="V59" s="19">
        <v>1697</v>
      </c>
      <c r="W59" s="19">
        <v>15</v>
      </c>
      <c r="X59" s="15">
        <v>94</v>
      </c>
      <c r="Y59" s="14">
        <v>16</v>
      </c>
      <c r="Z59" s="15">
        <v>16</v>
      </c>
      <c r="AA59" s="14">
        <v>52</v>
      </c>
      <c r="AB59" s="15">
        <v>446</v>
      </c>
      <c r="AC59" s="14">
        <v>60</v>
      </c>
      <c r="AD59" s="15">
        <v>1411</v>
      </c>
      <c r="AE59" s="4">
        <v>25</v>
      </c>
      <c r="AF59" s="3">
        <v>23</v>
      </c>
      <c r="AG59" s="3">
        <v>15</v>
      </c>
      <c r="AH59" s="3">
        <v>10</v>
      </c>
      <c r="AI59" s="14">
        <v>78</v>
      </c>
      <c r="AJ59" s="15">
        <v>3331</v>
      </c>
      <c r="AK59" s="14">
        <v>289</v>
      </c>
      <c r="AL59" s="19">
        <v>4389</v>
      </c>
      <c r="AM59" s="19">
        <v>994</v>
      </c>
      <c r="AN59" s="15">
        <v>248</v>
      </c>
      <c r="AO59" s="14">
        <v>284</v>
      </c>
      <c r="AP59" s="19">
        <v>525</v>
      </c>
      <c r="AQ59" s="19">
        <v>2913</v>
      </c>
      <c r="AR59" s="19">
        <v>19</v>
      </c>
      <c r="AS59" s="19">
        <v>144</v>
      </c>
      <c r="AT59" s="19">
        <v>48</v>
      </c>
      <c r="AU59" s="15">
        <v>312</v>
      </c>
      <c r="AV59" s="14">
        <v>421</v>
      </c>
      <c r="AW59" s="19">
        <v>1476</v>
      </c>
      <c r="AX59" s="19">
        <v>7</v>
      </c>
      <c r="AY59" s="15">
        <v>79</v>
      </c>
      <c r="AZ59" s="14">
        <v>15</v>
      </c>
      <c r="BA59" s="15">
        <v>14</v>
      </c>
    </row>
    <row r="60" spans="1:53" x14ac:dyDescent="0.25">
      <c r="A60" s="4" t="s">
        <v>9</v>
      </c>
      <c r="B60" s="40">
        <v>2008</v>
      </c>
      <c r="C60" s="14">
        <v>12</v>
      </c>
      <c r="D60" s="19">
        <v>4</v>
      </c>
      <c r="E60" s="71" t="s">
        <v>97</v>
      </c>
      <c r="F60" s="19">
        <v>9.8000000000000007</v>
      </c>
      <c r="G60" s="19">
        <v>1.6</v>
      </c>
      <c r="H60" s="15">
        <v>8.1999999999999993</v>
      </c>
      <c r="I60" s="14">
        <v>347</v>
      </c>
      <c r="J60" s="19">
        <v>4991</v>
      </c>
      <c r="K60" s="19">
        <v>1015</v>
      </c>
      <c r="L60" s="15">
        <v>290</v>
      </c>
      <c r="M60" s="14">
        <v>303</v>
      </c>
      <c r="N60" s="19">
        <v>506</v>
      </c>
      <c r="O60" s="19">
        <v>3301</v>
      </c>
      <c r="P60" s="19">
        <v>19</v>
      </c>
      <c r="Q60" s="19">
        <v>179</v>
      </c>
      <c r="R60" s="19">
        <v>81.900000000000006</v>
      </c>
      <c r="S60" s="19">
        <v>49</v>
      </c>
      <c r="T60" s="15">
        <v>306</v>
      </c>
      <c r="U60" s="14">
        <v>460</v>
      </c>
      <c r="V60" s="19">
        <v>1690</v>
      </c>
      <c r="W60" s="19">
        <v>16</v>
      </c>
      <c r="X60" s="15">
        <v>93</v>
      </c>
      <c r="Y60" s="14">
        <v>15</v>
      </c>
      <c r="Z60" s="15">
        <v>28</v>
      </c>
      <c r="AA60" s="14">
        <v>41</v>
      </c>
      <c r="AB60" s="15">
        <v>247</v>
      </c>
      <c r="AC60" s="14">
        <v>50</v>
      </c>
      <c r="AD60" s="15">
        <v>1013</v>
      </c>
      <c r="AE60" s="4">
        <v>19</v>
      </c>
      <c r="AF60" s="3">
        <v>18</v>
      </c>
      <c r="AG60" s="3">
        <v>12</v>
      </c>
      <c r="AH60" s="3">
        <v>9</v>
      </c>
      <c r="AI60" s="14">
        <v>78</v>
      </c>
      <c r="AJ60" s="15">
        <v>3104</v>
      </c>
      <c r="AK60" s="4">
        <v>223</v>
      </c>
      <c r="AL60" s="3">
        <v>3795</v>
      </c>
      <c r="AM60" s="3">
        <v>974</v>
      </c>
      <c r="AN60" s="5">
        <v>240</v>
      </c>
      <c r="AO60" s="14">
        <v>301</v>
      </c>
      <c r="AP60" s="19">
        <v>533</v>
      </c>
      <c r="AQ60" s="19">
        <v>2511</v>
      </c>
      <c r="AR60" s="19">
        <v>12</v>
      </c>
      <c r="AS60" s="19">
        <v>149</v>
      </c>
      <c r="AT60" s="19">
        <v>51</v>
      </c>
      <c r="AU60" s="15">
        <v>350</v>
      </c>
      <c r="AV60" s="14">
        <v>390</v>
      </c>
      <c r="AW60" s="19">
        <v>1284</v>
      </c>
      <c r="AX60" s="19">
        <v>7</v>
      </c>
      <c r="AY60" s="15">
        <v>73</v>
      </c>
      <c r="AZ60" s="14">
        <v>20</v>
      </c>
      <c r="BA60" s="15">
        <v>9</v>
      </c>
    </row>
    <row r="61" spans="1:53" x14ac:dyDescent="0.25">
      <c r="A61" s="4" t="s">
        <v>15</v>
      </c>
      <c r="B61" s="40">
        <v>2008</v>
      </c>
      <c r="C61" s="14">
        <v>8</v>
      </c>
      <c r="D61" s="19">
        <v>8</v>
      </c>
      <c r="E61" s="74" t="s">
        <v>97</v>
      </c>
      <c r="F61" s="19">
        <v>5</v>
      </c>
      <c r="G61" s="19">
        <v>5</v>
      </c>
      <c r="H61" s="15">
        <v>0</v>
      </c>
      <c r="I61" s="14">
        <v>439</v>
      </c>
      <c r="J61" s="19">
        <v>5584</v>
      </c>
      <c r="K61" s="19">
        <v>924</v>
      </c>
      <c r="L61" s="15">
        <v>301</v>
      </c>
      <c r="M61" s="14">
        <v>312</v>
      </c>
      <c r="N61" s="19">
        <v>478</v>
      </c>
      <c r="O61" s="19">
        <v>3858</v>
      </c>
      <c r="P61" s="19">
        <v>34</v>
      </c>
      <c r="Q61" s="19">
        <v>191</v>
      </c>
      <c r="R61" s="19">
        <v>105.5</v>
      </c>
      <c r="S61" s="19">
        <v>25</v>
      </c>
      <c r="T61" s="15">
        <v>151</v>
      </c>
      <c r="U61" s="14">
        <v>421</v>
      </c>
      <c r="V61" s="19">
        <v>1726</v>
      </c>
      <c r="W61" s="19">
        <v>13</v>
      </c>
      <c r="X61" s="15">
        <v>92</v>
      </c>
      <c r="Y61" s="14">
        <v>11</v>
      </c>
      <c r="Z61" s="15">
        <v>18</v>
      </c>
      <c r="AA61" s="14">
        <v>26</v>
      </c>
      <c r="AB61" s="15">
        <v>269</v>
      </c>
      <c r="AC61" s="14">
        <v>62</v>
      </c>
      <c r="AD61" s="15">
        <v>1485</v>
      </c>
      <c r="AE61" s="4">
        <v>23</v>
      </c>
      <c r="AF61" s="3">
        <v>23</v>
      </c>
      <c r="AG61" s="3">
        <v>9</v>
      </c>
      <c r="AH61" s="3">
        <v>4</v>
      </c>
      <c r="AI61" s="14">
        <v>51</v>
      </c>
      <c r="AJ61" s="15">
        <v>2331</v>
      </c>
      <c r="AK61" s="14">
        <v>347</v>
      </c>
      <c r="AL61" s="19">
        <v>5599</v>
      </c>
      <c r="AM61" s="19">
        <v>1041</v>
      </c>
      <c r="AN61" s="15">
        <v>339</v>
      </c>
      <c r="AO61" s="14">
        <v>411</v>
      </c>
      <c r="AP61" s="19">
        <v>605</v>
      </c>
      <c r="AQ61" s="19">
        <v>3958</v>
      </c>
      <c r="AR61" s="19">
        <v>25</v>
      </c>
      <c r="AS61" s="19">
        <v>213</v>
      </c>
      <c r="AT61" s="19">
        <v>28</v>
      </c>
      <c r="AU61" s="15">
        <v>132</v>
      </c>
      <c r="AV61" s="14">
        <v>408</v>
      </c>
      <c r="AW61" s="19">
        <v>1641</v>
      </c>
      <c r="AX61" s="19">
        <v>11</v>
      </c>
      <c r="AY61" s="15">
        <v>98</v>
      </c>
      <c r="AZ61" s="14">
        <v>15</v>
      </c>
      <c r="BA61" s="15">
        <v>9</v>
      </c>
    </row>
    <row r="62" spans="1:53" x14ac:dyDescent="0.25">
      <c r="A62" s="4" t="s">
        <v>32</v>
      </c>
      <c r="B62" s="40">
        <v>2008</v>
      </c>
      <c r="C62" s="14">
        <v>7</v>
      </c>
      <c r="D62" s="19">
        <v>9</v>
      </c>
      <c r="E62" s="74" t="s">
        <v>96</v>
      </c>
      <c r="F62" s="19">
        <v>-5.3</v>
      </c>
      <c r="G62" s="19">
        <v>-2.9</v>
      </c>
      <c r="H62" s="15">
        <v>-2.4</v>
      </c>
      <c r="I62" s="14">
        <v>339</v>
      </c>
      <c r="J62" s="19">
        <v>4978</v>
      </c>
      <c r="K62" s="19">
        <v>961</v>
      </c>
      <c r="L62" s="15">
        <v>287</v>
      </c>
      <c r="M62" s="14">
        <v>309</v>
      </c>
      <c r="N62" s="19">
        <v>509</v>
      </c>
      <c r="O62" s="19">
        <v>3379</v>
      </c>
      <c r="P62" s="19">
        <v>21</v>
      </c>
      <c r="Q62" s="19">
        <v>176</v>
      </c>
      <c r="R62" s="19">
        <v>81.400000000000006</v>
      </c>
      <c r="S62" s="19">
        <v>55</v>
      </c>
      <c r="T62" s="15">
        <v>345</v>
      </c>
      <c r="U62" s="14">
        <v>397</v>
      </c>
      <c r="V62" s="19">
        <v>1599</v>
      </c>
      <c r="W62" s="19">
        <v>10</v>
      </c>
      <c r="X62" s="15">
        <v>83</v>
      </c>
      <c r="Y62" s="14">
        <v>19</v>
      </c>
      <c r="Z62" s="15">
        <v>36</v>
      </c>
      <c r="AA62" s="14">
        <v>29</v>
      </c>
      <c r="AB62" s="15">
        <v>298</v>
      </c>
      <c r="AC62" s="14">
        <v>76</v>
      </c>
      <c r="AD62" s="15">
        <v>1767</v>
      </c>
      <c r="AE62" s="4">
        <v>19</v>
      </c>
      <c r="AF62" s="3">
        <v>19</v>
      </c>
      <c r="AG62" s="3">
        <v>14</v>
      </c>
      <c r="AH62" s="3">
        <v>10</v>
      </c>
      <c r="AI62" s="14">
        <v>67</v>
      </c>
      <c r="AJ62" s="15">
        <v>3156</v>
      </c>
      <c r="AK62" s="14">
        <v>381</v>
      </c>
      <c r="AL62" s="19">
        <v>5216</v>
      </c>
      <c r="AM62" s="19">
        <v>1027</v>
      </c>
      <c r="AN62" s="15">
        <v>293</v>
      </c>
      <c r="AO62" s="14">
        <v>331</v>
      </c>
      <c r="AP62" s="19">
        <v>545</v>
      </c>
      <c r="AQ62" s="19">
        <v>3507</v>
      </c>
      <c r="AR62" s="19">
        <v>22</v>
      </c>
      <c r="AS62" s="19">
        <v>170</v>
      </c>
      <c r="AT62" s="19">
        <v>30</v>
      </c>
      <c r="AU62" s="15">
        <v>161</v>
      </c>
      <c r="AV62" s="14">
        <v>452</v>
      </c>
      <c r="AW62" s="19">
        <v>1709</v>
      </c>
      <c r="AX62" s="19">
        <v>14</v>
      </c>
      <c r="AY62" s="15">
        <v>104</v>
      </c>
      <c r="AZ62" s="14">
        <v>12</v>
      </c>
      <c r="BA62" s="15">
        <v>6</v>
      </c>
    </row>
    <row r="63" spans="1:53" x14ac:dyDescent="0.25">
      <c r="A63" s="4" t="s">
        <v>33</v>
      </c>
      <c r="B63" s="40">
        <v>2008</v>
      </c>
      <c r="C63" s="14">
        <v>4</v>
      </c>
      <c r="D63" s="19">
        <v>12</v>
      </c>
      <c r="E63" s="74" t="s">
        <v>96</v>
      </c>
      <c r="F63" s="19">
        <v>-7.6</v>
      </c>
      <c r="G63" s="19">
        <v>-4.9000000000000004</v>
      </c>
      <c r="H63" s="15">
        <v>-2.8</v>
      </c>
      <c r="I63" s="14">
        <v>294</v>
      </c>
      <c r="J63" s="19">
        <v>4385</v>
      </c>
      <c r="K63" s="19">
        <v>927</v>
      </c>
      <c r="L63" s="15">
        <v>265</v>
      </c>
      <c r="M63" s="14">
        <v>262</v>
      </c>
      <c r="N63" s="19">
        <v>474</v>
      </c>
      <c r="O63" s="19">
        <v>2617</v>
      </c>
      <c r="P63" s="19">
        <v>18</v>
      </c>
      <c r="Q63" s="19">
        <v>142</v>
      </c>
      <c r="R63" s="19">
        <v>72.5</v>
      </c>
      <c r="S63" s="19">
        <v>36</v>
      </c>
      <c r="T63" s="15">
        <v>214</v>
      </c>
      <c r="U63" s="14">
        <v>417</v>
      </c>
      <c r="V63" s="19">
        <v>1768</v>
      </c>
      <c r="W63" s="19">
        <v>10</v>
      </c>
      <c r="X63" s="15">
        <v>104</v>
      </c>
      <c r="Y63" s="14">
        <v>15</v>
      </c>
      <c r="Z63" s="15">
        <v>20</v>
      </c>
      <c r="AA63" s="14">
        <v>35</v>
      </c>
      <c r="AB63" s="15">
        <v>353</v>
      </c>
      <c r="AC63" s="14">
        <v>77</v>
      </c>
      <c r="AD63" s="15">
        <v>1948</v>
      </c>
      <c r="AE63" s="4">
        <v>17</v>
      </c>
      <c r="AF63" s="3">
        <v>16</v>
      </c>
      <c r="AG63" s="3">
        <v>10</v>
      </c>
      <c r="AH63" s="3">
        <v>8</v>
      </c>
      <c r="AI63" s="14">
        <v>90</v>
      </c>
      <c r="AJ63" s="15">
        <v>4005</v>
      </c>
      <c r="AK63" s="14">
        <v>392</v>
      </c>
      <c r="AL63" s="19">
        <v>6048</v>
      </c>
      <c r="AM63" s="19">
        <v>1058</v>
      </c>
      <c r="AN63" s="15">
        <v>324</v>
      </c>
      <c r="AO63" s="14">
        <v>366</v>
      </c>
      <c r="AP63" s="19">
        <v>566</v>
      </c>
      <c r="AQ63" s="19">
        <v>4149</v>
      </c>
      <c r="AR63" s="19">
        <v>25</v>
      </c>
      <c r="AS63" s="19">
        <v>207</v>
      </c>
      <c r="AT63" s="19">
        <v>35</v>
      </c>
      <c r="AU63" s="15">
        <v>193</v>
      </c>
      <c r="AV63" s="14">
        <v>457</v>
      </c>
      <c r="AW63" s="19">
        <v>1899</v>
      </c>
      <c r="AX63" s="19">
        <v>13</v>
      </c>
      <c r="AY63" s="15">
        <v>98</v>
      </c>
      <c r="AZ63" s="14">
        <v>9</v>
      </c>
      <c r="BA63" s="15">
        <v>11</v>
      </c>
    </row>
    <row r="64" spans="1:53" x14ac:dyDescent="0.25">
      <c r="A64" s="4" t="s">
        <v>34</v>
      </c>
      <c r="B64" s="40">
        <v>2008</v>
      </c>
      <c r="C64" s="14">
        <v>2</v>
      </c>
      <c r="D64" s="19">
        <v>14</v>
      </c>
      <c r="E64" s="74" t="s">
        <v>96</v>
      </c>
      <c r="F64" s="19">
        <v>-15.1</v>
      </c>
      <c r="G64" s="19">
        <v>-8.1</v>
      </c>
      <c r="H64" s="15">
        <v>-7</v>
      </c>
      <c r="I64" s="14">
        <v>232</v>
      </c>
      <c r="J64" s="19">
        <v>4596</v>
      </c>
      <c r="K64" s="19">
        <v>982</v>
      </c>
      <c r="L64" s="15">
        <v>249</v>
      </c>
      <c r="M64" s="14">
        <v>292</v>
      </c>
      <c r="N64" s="19">
        <v>520</v>
      </c>
      <c r="O64" s="19">
        <v>2947</v>
      </c>
      <c r="P64" s="19">
        <v>11</v>
      </c>
      <c r="Q64" s="19">
        <v>140</v>
      </c>
      <c r="R64" s="19">
        <v>66.900000000000006</v>
      </c>
      <c r="S64" s="19">
        <v>45</v>
      </c>
      <c r="T64" s="15">
        <v>321</v>
      </c>
      <c r="U64" s="14">
        <v>417</v>
      </c>
      <c r="V64" s="19">
        <v>1649</v>
      </c>
      <c r="W64" s="19">
        <v>8</v>
      </c>
      <c r="X64" s="15">
        <v>95</v>
      </c>
      <c r="Y64" s="14">
        <v>19</v>
      </c>
      <c r="Z64" s="15">
        <v>18</v>
      </c>
      <c r="AA64" s="14">
        <v>29</v>
      </c>
      <c r="AB64" s="15">
        <v>245</v>
      </c>
      <c r="AC64" s="14">
        <v>80</v>
      </c>
      <c r="AD64" s="15">
        <v>1761</v>
      </c>
      <c r="AE64" s="4">
        <v>15</v>
      </c>
      <c r="AF64" s="3">
        <v>15</v>
      </c>
      <c r="AG64" s="3">
        <v>21</v>
      </c>
      <c r="AH64" s="3">
        <v>16</v>
      </c>
      <c r="AI64" s="14">
        <v>83</v>
      </c>
      <c r="AJ64" s="15">
        <v>4117</v>
      </c>
      <c r="AK64" s="14">
        <v>465</v>
      </c>
      <c r="AL64" s="19">
        <v>5950</v>
      </c>
      <c r="AM64" s="19">
        <v>975</v>
      </c>
      <c r="AN64" s="15">
        <v>320</v>
      </c>
      <c r="AO64" s="14">
        <v>278</v>
      </c>
      <c r="AP64" s="19">
        <v>444</v>
      </c>
      <c r="AQ64" s="19">
        <v>3475</v>
      </c>
      <c r="AR64" s="19">
        <v>20</v>
      </c>
      <c r="AS64" s="19">
        <v>158</v>
      </c>
      <c r="AT64" s="19">
        <v>30</v>
      </c>
      <c r="AU64" s="15">
        <v>201</v>
      </c>
      <c r="AV64" s="14">
        <v>501</v>
      </c>
      <c r="AW64" s="19">
        <v>2475</v>
      </c>
      <c r="AX64" s="19">
        <v>26</v>
      </c>
      <c r="AY64" s="15">
        <v>146</v>
      </c>
      <c r="AZ64" s="14">
        <v>12</v>
      </c>
      <c r="BA64" s="15">
        <v>14</v>
      </c>
    </row>
    <row r="65" spans="1:53" x14ac:dyDescent="0.25">
      <c r="A65" s="4" t="s">
        <v>30</v>
      </c>
      <c r="B65" s="40">
        <v>2008</v>
      </c>
      <c r="C65" s="14">
        <v>9</v>
      </c>
      <c r="D65" s="19">
        <v>7</v>
      </c>
      <c r="E65" s="74" t="s">
        <v>96</v>
      </c>
      <c r="F65" s="19">
        <v>2.2999999999999998</v>
      </c>
      <c r="G65" s="19">
        <v>-0.6</v>
      </c>
      <c r="H65" s="15">
        <v>2.9</v>
      </c>
      <c r="I65" s="14">
        <v>361</v>
      </c>
      <c r="J65" s="19">
        <v>5456</v>
      </c>
      <c r="K65" s="19">
        <v>1045</v>
      </c>
      <c r="L65" s="15">
        <v>298</v>
      </c>
      <c r="M65" s="14">
        <v>355</v>
      </c>
      <c r="N65" s="19">
        <v>562</v>
      </c>
      <c r="O65" s="19">
        <v>3619</v>
      </c>
      <c r="P65" s="19">
        <v>18</v>
      </c>
      <c r="Q65" s="19">
        <v>184</v>
      </c>
      <c r="R65" s="19">
        <v>83.8</v>
      </c>
      <c r="S65" s="19">
        <v>32</v>
      </c>
      <c r="T65" s="15">
        <v>169</v>
      </c>
      <c r="U65" s="14">
        <v>451</v>
      </c>
      <c r="V65" s="19">
        <v>1837</v>
      </c>
      <c r="W65" s="19">
        <v>13</v>
      </c>
      <c r="X65" s="15">
        <v>100</v>
      </c>
      <c r="Y65" s="14">
        <v>13</v>
      </c>
      <c r="Z65" s="15">
        <v>21</v>
      </c>
      <c r="AA65" s="14">
        <v>47</v>
      </c>
      <c r="AB65" s="15">
        <v>440</v>
      </c>
      <c r="AC65" s="14">
        <v>60</v>
      </c>
      <c r="AD65" s="15">
        <v>1486</v>
      </c>
      <c r="AE65" s="4">
        <v>27</v>
      </c>
      <c r="AF65" s="3">
        <v>27</v>
      </c>
      <c r="AG65" s="3">
        <v>11</v>
      </c>
      <c r="AH65" s="3">
        <v>5</v>
      </c>
      <c r="AI65" s="14">
        <v>77</v>
      </c>
      <c r="AJ65" s="15">
        <v>3426</v>
      </c>
      <c r="AK65" s="14">
        <v>323</v>
      </c>
      <c r="AL65" s="19">
        <v>4898</v>
      </c>
      <c r="AM65" s="19">
        <v>945</v>
      </c>
      <c r="AN65" s="15">
        <v>259</v>
      </c>
      <c r="AO65" s="14">
        <v>276</v>
      </c>
      <c r="AP65" s="19">
        <v>475</v>
      </c>
      <c r="AQ65" s="19">
        <v>2997</v>
      </c>
      <c r="AR65" s="19">
        <v>23</v>
      </c>
      <c r="AS65" s="19">
        <v>153</v>
      </c>
      <c r="AT65" s="19">
        <v>29</v>
      </c>
      <c r="AU65" s="15">
        <v>190</v>
      </c>
      <c r="AV65" s="14">
        <v>441</v>
      </c>
      <c r="AW65" s="19">
        <v>1901</v>
      </c>
      <c r="AX65" s="19">
        <v>8</v>
      </c>
      <c r="AY65" s="15">
        <v>87</v>
      </c>
      <c r="AZ65" s="14">
        <v>22</v>
      </c>
      <c r="BA65" s="15">
        <v>8</v>
      </c>
    </row>
    <row r="66" spans="1:53" x14ac:dyDescent="0.25">
      <c r="A66" s="4" t="s">
        <v>13</v>
      </c>
      <c r="B66" s="40">
        <v>2008</v>
      </c>
      <c r="C66" s="14">
        <v>13</v>
      </c>
      <c r="D66" s="19">
        <v>3</v>
      </c>
      <c r="E66" s="74" t="s">
        <v>97</v>
      </c>
      <c r="F66" s="19">
        <v>8.9</v>
      </c>
      <c r="G66" s="19">
        <v>1.5</v>
      </c>
      <c r="H66" s="15">
        <v>7.5</v>
      </c>
      <c r="I66" s="14">
        <v>375</v>
      </c>
      <c r="J66" s="19">
        <v>5018</v>
      </c>
      <c r="K66" s="19">
        <v>973</v>
      </c>
      <c r="L66" s="15">
        <v>268</v>
      </c>
      <c r="M66" s="14">
        <v>265</v>
      </c>
      <c r="N66" s="19">
        <v>453</v>
      </c>
      <c r="O66" s="19">
        <v>2819</v>
      </c>
      <c r="P66" s="19">
        <v>13</v>
      </c>
      <c r="Q66" s="19">
        <v>143</v>
      </c>
      <c r="R66" s="19">
        <v>78.8</v>
      </c>
      <c r="S66" s="19">
        <v>12</v>
      </c>
      <c r="T66" s="15">
        <v>83</v>
      </c>
      <c r="U66" s="14">
        <v>508</v>
      </c>
      <c r="V66" s="19">
        <v>2199</v>
      </c>
      <c r="W66" s="19">
        <v>24</v>
      </c>
      <c r="X66" s="15">
        <v>108</v>
      </c>
      <c r="Y66" s="14">
        <v>9</v>
      </c>
      <c r="Z66" s="15">
        <v>18</v>
      </c>
      <c r="AA66" s="14">
        <v>34</v>
      </c>
      <c r="AB66" s="15">
        <v>329</v>
      </c>
      <c r="AC66" s="14">
        <v>52</v>
      </c>
      <c r="AD66" s="15">
        <v>1319</v>
      </c>
      <c r="AE66" s="4">
        <v>13</v>
      </c>
      <c r="AF66" s="3">
        <v>13</v>
      </c>
      <c r="AG66" s="3">
        <v>20</v>
      </c>
      <c r="AH66" s="3">
        <v>16</v>
      </c>
      <c r="AI66" s="14">
        <v>87</v>
      </c>
      <c r="AJ66" s="15">
        <v>3724</v>
      </c>
      <c r="AK66" s="14">
        <v>234</v>
      </c>
      <c r="AL66" s="19">
        <v>4698</v>
      </c>
      <c r="AM66" s="19">
        <v>1022</v>
      </c>
      <c r="AN66" s="15">
        <v>276</v>
      </c>
      <c r="AO66" s="14">
        <v>342</v>
      </c>
      <c r="AP66" s="19">
        <v>575</v>
      </c>
      <c r="AQ66" s="19">
        <v>3196</v>
      </c>
      <c r="AR66" s="19">
        <v>12</v>
      </c>
      <c r="AS66" s="19">
        <v>166</v>
      </c>
      <c r="AT66" s="19">
        <v>44</v>
      </c>
      <c r="AU66" s="15">
        <v>262</v>
      </c>
      <c r="AV66" s="14">
        <v>403</v>
      </c>
      <c r="AW66" s="19">
        <v>1502</v>
      </c>
      <c r="AX66" s="19">
        <v>12</v>
      </c>
      <c r="AY66" s="15">
        <v>81</v>
      </c>
      <c r="AZ66" s="14">
        <v>20</v>
      </c>
      <c r="BA66" s="15">
        <v>11</v>
      </c>
    </row>
    <row r="67" spans="1:53" ht="15.75" thickBot="1" x14ac:dyDescent="0.3">
      <c r="A67" s="6" t="s">
        <v>22</v>
      </c>
      <c r="B67" s="41">
        <v>2008</v>
      </c>
      <c r="C67" s="16">
        <v>8</v>
      </c>
      <c r="D67" s="20">
        <v>8</v>
      </c>
      <c r="E67" s="75" t="s">
        <v>96</v>
      </c>
      <c r="F67" s="20">
        <v>-1.8</v>
      </c>
      <c r="G67" s="20">
        <v>-5.8</v>
      </c>
      <c r="H67" s="17">
        <v>4.0999999999999996</v>
      </c>
      <c r="I67" s="16">
        <v>265</v>
      </c>
      <c r="J67" s="20">
        <v>5120</v>
      </c>
      <c r="K67" s="20">
        <v>1026</v>
      </c>
      <c r="L67" s="17">
        <v>295</v>
      </c>
      <c r="M67" s="16">
        <v>318</v>
      </c>
      <c r="N67" s="20">
        <v>510</v>
      </c>
      <c r="O67" s="20">
        <v>3025</v>
      </c>
      <c r="P67" s="20">
        <v>14</v>
      </c>
      <c r="Q67" s="20">
        <v>165</v>
      </c>
      <c r="R67" s="20">
        <v>85.2</v>
      </c>
      <c r="S67" s="20">
        <v>38</v>
      </c>
      <c r="T67" s="17">
        <v>266</v>
      </c>
      <c r="U67" s="16">
        <v>478</v>
      </c>
      <c r="V67" s="20">
        <v>2095</v>
      </c>
      <c r="W67" s="20">
        <v>12</v>
      </c>
      <c r="X67" s="17">
        <v>109</v>
      </c>
      <c r="Y67" s="16">
        <v>6</v>
      </c>
      <c r="Z67" s="17">
        <v>20</v>
      </c>
      <c r="AA67" s="16">
        <v>45</v>
      </c>
      <c r="AB67" s="17">
        <v>378</v>
      </c>
      <c r="AC67" s="16">
        <v>55</v>
      </c>
      <c r="AD67" s="17">
        <v>1382</v>
      </c>
      <c r="AE67" s="6">
        <v>16</v>
      </c>
      <c r="AF67" s="8">
        <v>14</v>
      </c>
      <c r="AG67" s="8">
        <v>20</v>
      </c>
      <c r="AH67" s="8">
        <v>12</v>
      </c>
      <c r="AI67" s="16">
        <v>82</v>
      </c>
      <c r="AJ67" s="17">
        <v>3321</v>
      </c>
      <c r="AK67" s="16">
        <v>296</v>
      </c>
      <c r="AL67" s="20">
        <v>4621</v>
      </c>
      <c r="AM67" s="20">
        <v>933</v>
      </c>
      <c r="AN67" s="17">
        <v>259</v>
      </c>
      <c r="AO67" s="16">
        <v>290</v>
      </c>
      <c r="AP67" s="20">
        <v>511</v>
      </c>
      <c r="AQ67" s="20">
        <v>3095</v>
      </c>
      <c r="AR67" s="20">
        <v>16</v>
      </c>
      <c r="AS67" s="20">
        <v>159</v>
      </c>
      <c r="AT67" s="20">
        <v>24</v>
      </c>
      <c r="AU67" s="17">
        <v>141</v>
      </c>
      <c r="AV67" s="16">
        <v>398</v>
      </c>
      <c r="AW67" s="20">
        <v>1526</v>
      </c>
      <c r="AX67" s="20">
        <v>12</v>
      </c>
      <c r="AY67" s="17">
        <v>86</v>
      </c>
      <c r="AZ67" s="16">
        <v>13</v>
      </c>
      <c r="BA67" s="17">
        <v>5</v>
      </c>
    </row>
    <row r="68" spans="1:53" x14ac:dyDescent="0.25">
      <c r="A68" s="11" t="s">
        <v>31</v>
      </c>
      <c r="B68" s="39">
        <v>2007</v>
      </c>
      <c r="C68" s="12">
        <v>8</v>
      </c>
      <c r="D68" s="18">
        <v>8</v>
      </c>
      <c r="E68" s="73" t="s">
        <v>96</v>
      </c>
      <c r="F68" s="18">
        <v>-3.9</v>
      </c>
      <c r="G68" s="18">
        <v>1.9</v>
      </c>
      <c r="H68" s="13">
        <v>-5.9</v>
      </c>
      <c r="I68" s="12">
        <v>404</v>
      </c>
      <c r="J68" s="18">
        <v>5505</v>
      </c>
      <c r="K68" s="18">
        <v>1016</v>
      </c>
      <c r="L68" s="13">
        <v>308</v>
      </c>
      <c r="M68" s="12">
        <v>356</v>
      </c>
      <c r="N68" s="18">
        <v>590</v>
      </c>
      <c r="O68" s="18">
        <v>4065</v>
      </c>
      <c r="P68" s="18">
        <v>32</v>
      </c>
      <c r="Q68" s="18">
        <v>210</v>
      </c>
      <c r="R68" s="18">
        <v>83.4</v>
      </c>
      <c r="S68" s="18">
        <v>24</v>
      </c>
      <c r="T68" s="18">
        <v>163</v>
      </c>
      <c r="U68" s="12">
        <v>402</v>
      </c>
      <c r="V68" s="18">
        <v>1440</v>
      </c>
      <c r="W68" s="18">
        <v>9</v>
      </c>
      <c r="X68" s="13">
        <v>70</v>
      </c>
      <c r="Y68" s="12">
        <v>24</v>
      </c>
      <c r="Z68" s="21">
        <v>12</v>
      </c>
      <c r="AA68" s="12">
        <v>42</v>
      </c>
      <c r="AB68" s="13">
        <v>395</v>
      </c>
      <c r="AC68" s="12">
        <v>74</v>
      </c>
      <c r="AD68" s="18">
        <v>1682</v>
      </c>
      <c r="AE68" s="12">
        <v>15</v>
      </c>
      <c r="AF68" s="18">
        <v>13</v>
      </c>
      <c r="AG68" s="18">
        <v>15</v>
      </c>
      <c r="AH68" s="13">
        <v>8</v>
      </c>
      <c r="AI68" s="12">
        <v>80</v>
      </c>
      <c r="AJ68" s="13">
        <v>3200</v>
      </c>
      <c r="AK68" s="12">
        <v>399</v>
      </c>
      <c r="AL68" s="18">
        <v>5283</v>
      </c>
      <c r="AM68" s="18">
        <v>1013</v>
      </c>
      <c r="AN68" s="13">
        <v>298</v>
      </c>
      <c r="AO68" s="12">
        <v>361</v>
      </c>
      <c r="AP68" s="18">
        <v>570</v>
      </c>
      <c r="AQ68" s="18">
        <v>3716</v>
      </c>
      <c r="AR68" s="18">
        <v>26</v>
      </c>
      <c r="AS68" s="18">
        <v>185</v>
      </c>
      <c r="AT68" s="18">
        <v>36</v>
      </c>
      <c r="AU68" s="18">
        <v>242</v>
      </c>
      <c r="AV68" s="12">
        <v>407</v>
      </c>
      <c r="AW68" s="18">
        <v>1567</v>
      </c>
      <c r="AX68" s="18">
        <v>13</v>
      </c>
      <c r="AY68" s="13">
        <v>90</v>
      </c>
      <c r="AZ68" s="12">
        <v>18</v>
      </c>
      <c r="BA68" s="13">
        <v>11</v>
      </c>
    </row>
    <row r="69" spans="1:53" x14ac:dyDescent="0.25">
      <c r="A69" s="4" t="s">
        <v>28</v>
      </c>
      <c r="B69" s="40">
        <v>2007</v>
      </c>
      <c r="C69" s="14">
        <v>4</v>
      </c>
      <c r="D69" s="19">
        <v>12</v>
      </c>
      <c r="E69" s="74" t="s">
        <v>96</v>
      </c>
      <c r="F69" s="19">
        <v>-10.6</v>
      </c>
      <c r="G69" s="19">
        <v>-5.8</v>
      </c>
      <c r="H69" s="15">
        <v>-4.8</v>
      </c>
      <c r="I69" s="14">
        <v>259</v>
      </c>
      <c r="J69" s="19">
        <v>4813</v>
      </c>
      <c r="K69" s="19">
        <v>987</v>
      </c>
      <c r="L69" s="15">
        <v>248</v>
      </c>
      <c r="M69" s="14">
        <v>336</v>
      </c>
      <c r="N69" s="19">
        <v>555</v>
      </c>
      <c r="O69" s="19">
        <v>3293</v>
      </c>
      <c r="P69" s="19">
        <v>18</v>
      </c>
      <c r="Q69" s="19">
        <v>161</v>
      </c>
      <c r="R69" s="19">
        <v>78.900000000000006</v>
      </c>
      <c r="S69" s="19">
        <v>47</v>
      </c>
      <c r="T69" s="19">
        <v>280</v>
      </c>
      <c r="U69" s="14">
        <v>385</v>
      </c>
      <c r="V69" s="19">
        <v>1520</v>
      </c>
      <c r="W69" s="19">
        <v>7</v>
      </c>
      <c r="X69" s="15">
        <v>73</v>
      </c>
      <c r="Y69" s="14">
        <v>15</v>
      </c>
      <c r="Z69" s="22">
        <v>9</v>
      </c>
      <c r="AA69" s="14">
        <v>36</v>
      </c>
      <c r="AB69" s="15">
        <v>228</v>
      </c>
      <c r="AC69" s="14">
        <v>72</v>
      </c>
      <c r="AD69" s="19">
        <v>1781</v>
      </c>
      <c r="AE69" s="14">
        <v>22</v>
      </c>
      <c r="AF69" s="19">
        <v>21</v>
      </c>
      <c r="AG69" s="19">
        <v>10</v>
      </c>
      <c r="AH69" s="15">
        <v>5</v>
      </c>
      <c r="AI69" s="14">
        <v>88</v>
      </c>
      <c r="AJ69" s="15">
        <v>3828</v>
      </c>
      <c r="AK69" s="14">
        <v>414</v>
      </c>
      <c r="AL69" s="19">
        <v>5688</v>
      </c>
      <c r="AM69" s="19">
        <v>1042</v>
      </c>
      <c r="AN69" s="15">
        <v>320</v>
      </c>
      <c r="AO69" s="14">
        <v>336</v>
      </c>
      <c r="AP69" s="19">
        <v>536</v>
      </c>
      <c r="AQ69" s="19">
        <v>3655</v>
      </c>
      <c r="AR69" s="19">
        <v>27</v>
      </c>
      <c r="AS69" s="19">
        <v>190</v>
      </c>
      <c r="AT69" s="19">
        <v>25</v>
      </c>
      <c r="AU69" s="19">
        <v>146</v>
      </c>
      <c r="AV69" s="14">
        <v>481</v>
      </c>
      <c r="AW69" s="19">
        <v>2033</v>
      </c>
      <c r="AX69" s="19">
        <v>12</v>
      </c>
      <c r="AY69" s="15">
        <v>105</v>
      </c>
      <c r="AZ69" s="14">
        <v>16</v>
      </c>
      <c r="BA69" s="15">
        <v>12</v>
      </c>
    </row>
    <row r="70" spans="1:53" x14ac:dyDescent="0.25">
      <c r="A70" s="4" t="s">
        <v>8</v>
      </c>
      <c r="B70" s="40">
        <v>2007</v>
      </c>
      <c r="C70" s="14">
        <v>5</v>
      </c>
      <c r="D70" s="19">
        <v>11</v>
      </c>
      <c r="E70" s="74" t="s">
        <v>96</v>
      </c>
      <c r="F70" s="19">
        <v>-6.7</v>
      </c>
      <c r="G70" s="19">
        <v>-5</v>
      </c>
      <c r="H70" s="15">
        <v>-1.8</v>
      </c>
      <c r="I70" s="14">
        <v>275</v>
      </c>
      <c r="J70" s="19">
        <v>4832</v>
      </c>
      <c r="K70" s="19">
        <v>1042</v>
      </c>
      <c r="L70" s="15">
        <v>291</v>
      </c>
      <c r="M70" s="14">
        <v>341</v>
      </c>
      <c r="N70" s="19">
        <v>557</v>
      </c>
      <c r="O70" s="19">
        <v>3035</v>
      </c>
      <c r="P70" s="19">
        <v>13</v>
      </c>
      <c r="Q70" s="19">
        <v>175</v>
      </c>
      <c r="R70" s="19">
        <v>75.2</v>
      </c>
      <c r="S70" s="19">
        <v>39</v>
      </c>
      <c r="T70" s="19">
        <v>273</v>
      </c>
      <c r="U70" s="14">
        <v>446</v>
      </c>
      <c r="V70" s="19">
        <v>1797</v>
      </c>
      <c r="W70" s="19">
        <v>11</v>
      </c>
      <c r="X70" s="15">
        <v>96</v>
      </c>
      <c r="Y70" s="14">
        <v>14</v>
      </c>
      <c r="Z70" s="22">
        <v>26</v>
      </c>
      <c r="AA70" s="14">
        <v>35</v>
      </c>
      <c r="AB70" s="15">
        <v>338</v>
      </c>
      <c r="AC70" s="14">
        <v>65</v>
      </c>
      <c r="AD70" s="19">
        <v>1525</v>
      </c>
      <c r="AE70" s="14">
        <v>19</v>
      </c>
      <c r="AF70" s="19">
        <v>19</v>
      </c>
      <c r="AG70" s="19">
        <v>13</v>
      </c>
      <c r="AH70" s="15">
        <v>8</v>
      </c>
      <c r="AI70" s="14">
        <v>79</v>
      </c>
      <c r="AJ70" s="15">
        <v>3397</v>
      </c>
      <c r="AK70" s="14">
        <v>384</v>
      </c>
      <c r="AL70" s="19">
        <v>4825</v>
      </c>
      <c r="AM70" s="19">
        <v>968</v>
      </c>
      <c r="AN70" s="15">
        <v>258</v>
      </c>
      <c r="AO70" s="14">
        <v>293</v>
      </c>
      <c r="AP70" s="19">
        <v>490</v>
      </c>
      <c r="AQ70" s="19">
        <v>3557</v>
      </c>
      <c r="AR70" s="19">
        <v>27</v>
      </c>
      <c r="AS70" s="19">
        <v>162</v>
      </c>
      <c r="AT70" s="19">
        <v>32</v>
      </c>
      <c r="AU70" s="19">
        <v>183</v>
      </c>
      <c r="AV70" s="14">
        <v>446</v>
      </c>
      <c r="AW70" s="19">
        <v>1268</v>
      </c>
      <c r="AX70" s="19">
        <v>9</v>
      </c>
      <c r="AY70" s="15">
        <v>69</v>
      </c>
      <c r="AZ70" s="14">
        <v>17</v>
      </c>
      <c r="BA70" s="15">
        <v>6</v>
      </c>
    </row>
    <row r="71" spans="1:53" x14ac:dyDescent="0.25">
      <c r="A71" s="4" t="s">
        <v>6</v>
      </c>
      <c r="B71" s="40">
        <v>2007</v>
      </c>
      <c r="C71" s="14">
        <v>7</v>
      </c>
      <c r="D71" s="19">
        <v>9</v>
      </c>
      <c r="E71" s="74" t="s">
        <v>96</v>
      </c>
      <c r="F71" s="19">
        <v>-4.0999999999999996</v>
      </c>
      <c r="G71" s="19">
        <v>-5.6</v>
      </c>
      <c r="H71" s="15">
        <v>1.5</v>
      </c>
      <c r="I71" s="14">
        <v>252</v>
      </c>
      <c r="J71" s="19">
        <v>4434</v>
      </c>
      <c r="K71" s="19">
        <v>919</v>
      </c>
      <c r="L71" s="15">
        <v>248</v>
      </c>
      <c r="M71" s="14">
        <v>263</v>
      </c>
      <c r="N71" s="19">
        <v>445</v>
      </c>
      <c r="O71" s="19">
        <v>2634</v>
      </c>
      <c r="P71" s="19">
        <v>12</v>
      </c>
      <c r="Q71" s="19">
        <v>141</v>
      </c>
      <c r="R71" s="19">
        <v>73.8</v>
      </c>
      <c r="S71" s="19">
        <v>26</v>
      </c>
      <c r="T71" s="19">
        <v>208</v>
      </c>
      <c r="U71" s="14">
        <v>448</v>
      </c>
      <c r="V71" s="19">
        <v>1800</v>
      </c>
      <c r="W71" s="19">
        <v>8</v>
      </c>
      <c r="X71" s="15">
        <v>91</v>
      </c>
      <c r="Y71" s="14">
        <v>14</v>
      </c>
      <c r="Z71" s="22">
        <v>7</v>
      </c>
      <c r="AA71" s="14">
        <v>31</v>
      </c>
      <c r="AB71" s="15">
        <v>476</v>
      </c>
      <c r="AC71" s="14">
        <v>70</v>
      </c>
      <c r="AD71" s="19">
        <v>1448</v>
      </c>
      <c r="AE71" s="14">
        <v>18</v>
      </c>
      <c r="AF71" s="19">
        <v>18</v>
      </c>
      <c r="AG71" s="19">
        <v>9</v>
      </c>
      <c r="AH71" s="15">
        <v>6</v>
      </c>
      <c r="AI71" s="14">
        <v>81</v>
      </c>
      <c r="AJ71" s="15">
        <v>3305</v>
      </c>
      <c r="AK71" s="14">
        <v>354</v>
      </c>
      <c r="AL71" s="19">
        <v>5807</v>
      </c>
      <c r="AM71" s="19">
        <v>1047</v>
      </c>
      <c r="AN71" s="15">
        <v>322</v>
      </c>
      <c r="AO71" s="14">
        <v>354</v>
      </c>
      <c r="AP71" s="19">
        <v>567</v>
      </c>
      <c r="AQ71" s="19">
        <v>3814</v>
      </c>
      <c r="AR71" s="19">
        <v>19</v>
      </c>
      <c r="AS71" s="19">
        <v>203</v>
      </c>
      <c r="AT71" s="19">
        <v>26</v>
      </c>
      <c r="AU71" s="19">
        <v>144</v>
      </c>
      <c r="AV71" s="14">
        <v>454</v>
      </c>
      <c r="AW71" s="19">
        <v>1993</v>
      </c>
      <c r="AX71" s="19">
        <v>15</v>
      </c>
      <c r="AY71" s="15">
        <v>104</v>
      </c>
      <c r="AZ71" s="14">
        <v>18</v>
      </c>
      <c r="BA71" s="15">
        <v>12</v>
      </c>
    </row>
    <row r="72" spans="1:53" x14ac:dyDescent="0.25">
      <c r="A72" s="4" t="s">
        <v>29</v>
      </c>
      <c r="B72" s="40">
        <v>2007</v>
      </c>
      <c r="C72" s="14">
        <v>7</v>
      </c>
      <c r="D72" s="19">
        <v>9</v>
      </c>
      <c r="E72" s="74" t="s">
        <v>96</v>
      </c>
      <c r="F72" s="19">
        <v>-5.8</v>
      </c>
      <c r="G72" s="19">
        <v>-5.7</v>
      </c>
      <c r="H72" s="15">
        <v>-0.1</v>
      </c>
      <c r="I72" s="14">
        <v>267</v>
      </c>
      <c r="J72" s="19">
        <v>4559</v>
      </c>
      <c r="K72" s="19">
        <v>989</v>
      </c>
      <c r="L72" s="15">
        <v>255</v>
      </c>
      <c r="M72" s="14">
        <v>285</v>
      </c>
      <c r="N72" s="19">
        <v>505</v>
      </c>
      <c r="O72" s="19">
        <v>2735</v>
      </c>
      <c r="P72" s="19">
        <v>19</v>
      </c>
      <c r="Q72" s="19">
        <v>142</v>
      </c>
      <c r="R72" s="19">
        <v>71.900000000000006</v>
      </c>
      <c r="S72" s="19">
        <v>33</v>
      </c>
      <c r="T72" s="19">
        <v>206</v>
      </c>
      <c r="U72" s="14">
        <v>451</v>
      </c>
      <c r="V72" s="19">
        <v>1824</v>
      </c>
      <c r="W72" s="19">
        <v>7</v>
      </c>
      <c r="X72" s="15">
        <v>85</v>
      </c>
      <c r="Y72" s="14">
        <v>17</v>
      </c>
      <c r="Z72" s="22">
        <v>12</v>
      </c>
      <c r="AA72" s="14">
        <v>32</v>
      </c>
      <c r="AB72" s="15">
        <v>269</v>
      </c>
      <c r="AC72" s="14">
        <v>60</v>
      </c>
      <c r="AD72" s="19">
        <v>1146</v>
      </c>
      <c r="AE72" s="14">
        <v>17</v>
      </c>
      <c r="AF72" s="19">
        <v>16</v>
      </c>
      <c r="AG72" s="19">
        <v>11</v>
      </c>
      <c r="AH72" s="15">
        <v>8</v>
      </c>
      <c r="AI72" s="14">
        <v>92</v>
      </c>
      <c r="AJ72" s="15">
        <v>4039</v>
      </c>
      <c r="AK72" s="14">
        <v>347</v>
      </c>
      <c r="AL72" s="19">
        <v>5197</v>
      </c>
      <c r="AM72" s="19">
        <v>1032</v>
      </c>
      <c r="AN72" s="15">
        <v>302</v>
      </c>
      <c r="AO72" s="14">
        <v>337</v>
      </c>
      <c r="AP72" s="19">
        <v>537</v>
      </c>
      <c r="AQ72" s="19">
        <v>3426</v>
      </c>
      <c r="AR72" s="19">
        <v>22</v>
      </c>
      <c r="AS72" s="19">
        <v>174</v>
      </c>
      <c r="AT72" s="19">
        <v>23</v>
      </c>
      <c r="AU72" s="19">
        <v>177</v>
      </c>
      <c r="AV72" s="14">
        <v>472</v>
      </c>
      <c r="AW72" s="19">
        <v>1771</v>
      </c>
      <c r="AX72" s="19">
        <v>13</v>
      </c>
      <c r="AY72" s="15">
        <v>100</v>
      </c>
      <c r="AZ72" s="14">
        <v>14</v>
      </c>
      <c r="BA72" s="15">
        <v>16</v>
      </c>
    </row>
    <row r="73" spans="1:53" x14ac:dyDescent="0.25">
      <c r="A73" s="4" t="s">
        <v>25</v>
      </c>
      <c r="B73" s="40">
        <v>2007</v>
      </c>
      <c r="C73" s="14">
        <v>7</v>
      </c>
      <c r="D73" s="19">
        <v>9</v>
      </c>
      <c r="E73" s="74" t="s">
        <v>96</v>
      </c>
      <c r="F73" s="19">
        <v>1.2</v>
      </c>
      <c r="G73" s="19">
        <v>-0.2</v>
      </c>
      <c r="H73" s="15">
        <v>1.4</v>
      </c>
      <c r="I73" s="14">
        <v>334</v>
      </c>
      <c r="J73" s="19">
        <v>4692</v>
      </c>
      <c r="K73" s="19">
        <v>1035</v>
      </c>
      <c r="L73" s="15">
        <v>266</v>
      </c>
      <c r="M73" s="14">
        <v>327</v>
      </c>
      <c r="N73" s="19">
        <v>569</v>
      </c>
      <c r="O73" s="19">
        <v>3362</v>
      </c>
      <c r="P73" s="19">
        <v>18</v>
      </c>
      <c r="Q73" s="19">
        <v>168</v>
      </c>
      <c r="R73" s="19">
        <v>72.2</v>
      </c>
      <c r="S73" s="19">
        <v>43</v>
      </c>
      <c r="T73" s="19">
        <v>339</v>
      </c>
      <c r="U73" s="14">
        <v>423</v>
      </c>
      <c r="V73" s="19">
        <v>1330</v>
      </c>
      <c r="W73" s="19">
        <v>8</v>
      </c>
      <c r="X73" s="15">
        <v>74</v>
      </c>
      <c r="Y73" s="14">
        <v>21</v>
      </c>
      <c r="Z73" s="22">
        <v>13</v>
      </c>
      <c r="AA73" s="14">
        <v>44</v>
      </c>
      <c r="AB73" s="15">
        <v>651</v>
      </c>
      <c r="AC73" s="14">
        <v>67</v>
      </c>
      <c r="AD73" s="19">
        <v>1234</v>
      </c>
      <c r="AE73" s="14">
        <v>20</v>
      </c>
      <c r="AF73" s="19">
        <v>19</v>
      </c>
      <c r="AG73" s="19">
        <v>16</v>
      </c>
      <c r="AH73" s="15">
        <v>12</v>
      </c>
      <c r="AI73" s="14">
        <v>94</v>
      </c>
      <c r="AJ73" s="15">
        <v>3939</v>
      </c>
      <c r="AK73" s="14">
        <v>348</v>
      </c>
      <c r="AL73" s="19">
        <v>5675</v>
      </c>
      <c r="AM73" s="19">
        <v>1036</v>
      </c>
      <c r="AN73" s="15">
        <v>305</v>
      </c>
      <c r="AO73" s="14">
        <v>343</v>
      </c>
      <c r="AP73" s="19">
        <v>541</v>
      </c>
      <c r="AQ73" s="19">
        <v>3708</v>
      </c>
      <c r="AR73" s="19">
        <v>19</v>
      </c>
      <c r="AS73" s="19">
        <v>185</v>
      </c>
      <c r="AT73" s="19">
        <v>41</v>
      </c>
      <c r="AU73" s="19">
        <v>245</v>
      </c>
      <c r="AV73" s="14">
        <v>454</v>
      </c>
      <c r="AW73" s="19">
        <v>1967</v>
      </c>
      <c r="AX73" s="19">
        <v>17</v>
      </c>
      <c r="AY73" s="15">
        <v>100</v>
      </c>
      <c r="AZ73" s="14">
        <v>16</v>
      </c>
      <c r="BA73" s="15">
        <v>17</v>
      </c>
    </row>
    <row r="74" spans="1:53" x14ac:dyDescent="0.25">
      <c r="A74" s="4" t="s">
        <v>7</v>
      </c>
      <c r="B74" s="40">
        <v>2007</v>
      </c>
      <c r="C74" s="14">
        <v>7</v>
      </c>
      <c r="D74" s="19">
        <v>9</v>
      </c>
      <c r="E74" s="74" t="s">
        <v>96</v>
      </c>
      <c r="F74" s="19">
        <v>-2.4</v>
      </c>
      <c r="G74" s="19">
        <v>1.6</v>
      </c>
      <c r="H74" s="15">
        <v>-4</v>
      </c>
      <c r="I74" s="14">
        <v>380</v>
      </c>
      <c r="J74" s="19">
        <v>5568</v>
      </c>
      <c r="K74" s="19">
        <v>1008</v>
      </c>
      <c r="L74" s="15">
        <v>320</v>
      </c>
      <c r="M74" s="14">
        <v>373</v>
      </c>
      <c r="N74" s="19">
        <v>575</v>
      </c>
      <c r="O74" s="19">
        <v>4012</v>
      </c>
      <c r="P74" s="19">
        <v>26</v>
      </c>
      <c r="Q74" s="19">
        <v>213</v>
      </c>
      <c r="R74" s="19">
        <v>86.7</v>
      </c>
      <c r="S74" s="19">
        <v>17</v>
      </c>
      <c r="T74" s="19">
        <v>119</v>
      </c>
      <c r="U74" s="14">
        <v>416</v>
      </c>
      <c r="V74" s="19">
        <v>1556</v>
      </c>
      <c r="W74" s="19">
        <v>10</v>
      </c>
      <c r="X74" s="15">
        <v>81</v>
      </c>
      <c r="Y74" s="14">
        <v>20</v>
      </c>
      <c r="Z74" s="22">
        <v>10</v>
      </c>
      <c r="AA74" s="14">
        <v>27</v>
      </c>
      <c r="AB74" s="15">
        <v>131</v>
      </c>
      <c r="AC74" s="14">
        <v>73</v>
      </c>
      <c r="AD74" s="19">
        <v>1684</v>
      </c>
      <c r="AE74" s="14">
        <v>26</v>
      </c>
      <c r="AF74" s="19">
        <v>25</v>
      </c>
      <c r="AG74" s="19">
        <v>8</v>
      </c>
      <c r="AH74" s="15">
        <v>6</v>
      </c>
      <c r="AI74" s="14">
        <v>59</v>
      </c>
      <c r="AJ74" s="15">
        <v>2437</v>
      </c>
      <c r="AK74" s="14">
        <v>385</v>
      </c>
      <c r="AL74" s="19">
        <v>5580</v>
      </c>
      <c r="AM74" s="19">
        <v>1011</v>
      </c>
      <c r="AN74" s="15">
        <v>313</v>
      </c>
      <c r="AO74" s="14">
        <v>353</v>
      </c>
      <c r="AP74" s="19">
        <v>540</v>
      </c>
      <c r="AQ74" s="19">
        <v>3687</v>
      </c>
      <c r="AR74" s="19">
        <v>29</v>
      </c>
      <c r="AS74" s="19">
        <v>200</v>
      </c>
      <c r="AT74" s="19">
        <v>22</v>
      </c>
      <c r="AU74" s="19">
        <v>128</v>
      </c>
      <c r="AV74" s="14">
        <v>449</v>
      </c>
      <c r="AW74" s="19">
        <v>1893</v>
      </c>
      <c r="AX74" s="19">
        <v>11</v>
      </c>
      <c r="AY74" s="15">
        <v>98</v>
      </c>
      <c r="AZ74" s="14">
        <v>19</v>
      </c>
      <c r="BA74" s="15">
        <v>16</v>
      </c>
    </row>
    <row r="75" spans="1:53" x14ac:dyDescent="0.25">
      <c r="A75" s="4" t="s">
        <v>10</v>
      </c>
      <c r="B75" s="40">
        <v>2007</v>
      </c>
      <c r="C75" s="14">
        <v>10</v>
      </c>
      <c r="D75" s="19">
        <v>6</v>
      </c>
      <c r="E75" s="74" t="s">
        <v>96</v>
      </c>
      <c r="F75" s="19">
        <v>-1.1000000000000001</v>
      </c>
      <c r="G75" s="19">
        <v>2.2000000000000002</v>
      </c>
      <c r="H75" s="15">
        <v>-3.3</v>
      </c>
      <c r="I75" s="14">
        <v>402</v>
      </c>
      <c r="J75" s="19">
        <v>5621</v>
      </c>
      <c r="K75" s="19">
        <v>1004</v>
      </c>
      <c r="L75" s="15">
        <v>315</v>
      </c>
      <c r="M75" s="14">
        <v>305</v>
      </c>
      <c r="N75" s="19">
        <v>545</v>
      </c>
      <c r="O75" s="19">
        <v>3726</v>
      </c>
      <c r="P75" s="19">
        <v>29</v>
      </c>
      <c r="Q75" s="19">
        <v>192</v>
      </c>
      <c r="R75" s="19">
        <v>80.7</v>
      </c>
      <c r="S75" s="19">
        <v>19</v>
      </c>
      <c r="T75" s="19">
        <v>140</v>
      </c>
      <c r="U75" s="14">
        <v>440</v>
      </c>
      <c r="V75" s="19">
        <v>1895</v>
      </c>
      <c r="W75" s="19">
        <v>13</v>
      </c>
      <c r="X75" s="15">
        <v>110</v>
      </c>
      <c r="Y75" s="14">
        <v>20</v>
      </c>
      <c r="Z75" s="22">
        <v>9</v>
      </c>
      <c r="AA75" s="14">
        <v>30</v>
      </c>
      <c r="AB75" s="15">
        <v>405</v>
      </c>
      <c r="AC75" s="14">
        <v>72</v>
      </c>
      <c r="AD75" s="19">
        <v>1943</v>
      </c>
      <c r="AE75" s="14">
        <v>20</v>
      </c>
      <c r="AF75" s="19">
        <v>18</v>
      </c>
      <c r="AG75" s="19">
        <v>10</v>
      </c>
      <c r="AH75" s="15">
        <v>8</v>
      </c>
      <c r="AI75" s="14">
        <v>69</v>
      </c>
      <c r="AJ75" s="15">
        <v>2898</v>
      </c>
      <c r="AK75" s="14">
        <v>382</v>
      </c>
      <c r="AL75" s="19">
        <v>5753</v>
      </c>
      <c r="AM75" s="19">
        <v>1066</v>
      </c>
      <c r="AN75" s="15">
        <v>335</v>
      </c>
      <c r="AO75" s="14">
        <v>340</v>
      </c>
      <c r="AP75" s="19">
        <v>578</v>
      </c>
      <c r="AQ75" s="19">
        <v>3681</v>
      </c>
      <c r="AR75" s="19">
        <v>29</v>
      </c>
      <c r="AS75" s="19">
        <v>211</v>
      </c>
      <c r="AT75" s="19">
        <v>28</v>
      </c>
      <c r="AU75" s="19">
        <v>186</v>
      </c>
      <c r="AV75" s="14">
        <v>460</v>
      </c>
      <c r="AW75" s="19">
        <v>2072</v>
      </c>
      <c r="AX75" s="19">
        <v>8</v>
      </c>
      <c r="AY75" s="15">
        <v>100</v>
      </c>
      <c r="AZ75" s="14">
        <v>17</v>
      </c>
      <c r="BA75" s="15">
        <v>10</v>
      </c>
    </row>
    <row r="76" spans="1:53" x14ac:dyDescent="0.25">
      <c r="A76" s="4" t="s">
        <v>19</v>
      </c>
      <c r="B76" s="40">
        <v>2007</v>
      </c>
      <c r="C76" s="14">
        <v>13</v>
      </c>
      <c r="D76" s="19">
        <v>3</v>
      </c>
      <c r="E76" s="74" t="s">
        <v>97</v>
      </c>
      <c r="F76" s="19">
        <v>9.5</v>
      </c>
      <c r="G76" s="19">
        <v>7.8</v>
      </c>
      <c r="H76" s="15">
        <v>1.7</v>
      </c>
      <c r="I76" s="14">
        <v>455</v>
      </c>
      <c r="J76" s="19">
        <v>5851</v>
      </c>
      <c r="K76" s="19">
        <v>975</v>
      </c>
      <c r="L76" s="15">
        <v>322</v>
      </c>
      <c r="M76" s="14">
        <v>342</v>
      </c>
      <c r="N76" s="19">
        <v>531</v>
      </c>
      <c r="O76" s="19">
        <v>4105</v>
      </c>
      <c r="P76" s="19">
        <v>36</v>
      </c>
      <c r="Q76" s="19">
        <v>217</v>
      </c>
      <c r="R76" s="19">
        <v>97.1</v>
      </c>
      <c r="S76" s="19">
        <v>25</v>
      </c>
      <c r="T76" s="19">
        <v>185</v>
      </c>
      <c r="U76" s="14">
        <v>419</v>
      </c>
      <c r="V76" s="19">
        <v>1746</v>
      </c>
      <c r="W76" s="19">
        <v>14</v>
      </c>
      <c r="X76" s="15">
        <v>83</v>
      </c>
      <c r="Y76" s="14">
        <v>19</v>
      </c>
      <c r="Z76" s="22">
        <v>5</v>
      </c>
      <c r="AA76" s="14">
        <v>26</v>
      </c>
      <c r="AB76" s="15">
        <v>227</v>
      </c>
      <c r="AC76" s="14">
        <v>61</v>
      </c>
      <c r="AD76" s="19">
        <v>1358</v>
      </c>
      <c r="AE76" s="14">
        <v>19</v>
      </c>
      <c r="AF76" s="19">
        <v>17</v>
      </c>
      <c r="AG76" s="19">
        <v>12</v>
      </c>
      <c r="AH76" s="15">
        <v>9</v>
      </c>
      <c r="AI76" s="14">
        <v>63</v>
      </c>
      <c r="AJ76" s="15">
        <v>2967</v>
      </c>
      <c r="AK76" s="14">
        <v>325</v>
      </c>
      <c r="AL76" s="19">
        <v>4922</v>
      </c>
      <c r="AM76" s="19">
        <v>1008</v>
      </c>
      <c r="AN76" s="15">
        <v>304</v>
      </c>
      <c r="AO76" s="14">
        <v>342</v>
      </c>
      <c r="AP76" s="19">
        <v>581</v>
      </c>
      <c r="AQ76" s="19">
        <v>3409</v>
      </c>
      <c r="AR76" s="19">
        <v>19</v>
      </c>
      <c r="AS76" s="19">
        <v>195</v>
      </c>
      <c r="AT76" s="19">
        <v>46</v>
      </c>
      <c r="AU76" s="19">
        <v>319</v>
      </c>
      <c r="AV76" s="14">
        <v>381</v>
      </c>
      <c r="AW76" s="19">
        <v>1513</v>
      </c>
      <c r="AX76" s="19">
        <v>12</v>
      </c>
      <c r="AY76" s="15">
        <v>86</v>
      </c>
      <c r="AZ76" s="14">
        <v>19</v>
      </c>
      <c r="BA76" s="15">
        <v>10</v>
      </c>
    </row>
    <row r="77" spans="1:53" x14ac:dyDescent="0.25">
      <c r="A77" s="4" t="s">
        <v>16</v>
      </c>
      <c r="B77" s="40">
        <v>2007</v>
      </c>
      <c r="C77" s="14">
        <v>7</v>
      </c>
      <c r="D77" s="19">
        <v>9</v>
      </c>
      <c r="E77" s="74" t="s">
        <v>96</v>
      </c>
      <c r="F77" s="19">
        <v>-3.9</v>
      </c>
      <c r="G77" s="19">
        <v>-0.2</v>
      </c>
      <c r="H77" s="15">
        <v>-3.8</v>
      </c>
      <c r="I77" s="14">
        <v>320</v>
      </c>
      <c r="J77" s="19">
        <v>5541</v>
      </c>
      <c r="K77" s="19">
        <v>976</v>
      </c>
      <c r="L77" s="15">
        <v>305</v>
      </c>
      <c r="M77" s="14">
        <v>326</v>
      </c>
      <c r="N77" s="19">
        <v>515</v>
      </c>
      <c r="O77" s="19">
        <v>3584</v>
      </c>
      <c r="P77" s="19">
        <v>21</v>
      </c>
      <c r="Q77" s="19">
        <v>187</v>
      </c>
      <c r="R77" s="19">
        <v>86.7</v>
      </c>
      <c r="S77" s="19">
        <v>32</v>
      </c>
      <c r="T77" s="19">
        <v>175</v>
      </c>
      <c r="U77" s="14">
        <v>429</v>
      </c>
      <c r="V77" s="19">
        <v>1957</v>
      </c>
      <c r="W77" s="19">
        <v>10</v>
      </c>
      <c r="X77" s="15">
        <v>96</v>
      </c>
      <c r="Y77" s="14">
        <v>15</v>
      </c>
      <c r="Z77" s="22">
        <v>14</v>
      </c>
      <c r="AA77" s="14">
        <v>23</v>
      </c>
      <c r="AB77" s="15">
        <v>209</v>
      </c>
      <c r="AC77" s="14">
        <v>58</v>
      </c>
      <c r="AD77" s="19">
        <v>1293</v>
      </c>
      <c r="AE77" s="14">
        <v>17</v>
      </c>
      <c r="AF77" s="19">
        <v>17</v>
      </c>
      <c r="AG77" s="19">
        <v>14</v>
      </c>
      <c r="AH77" s="15">
        <v>10</v>
      </c>
      <c r="AI77" s="14">
        <v>60</v>
      </c>
      <c r="AJ77" s="15">
        <v>2628</v>
      </c>
      <c r="AK77" s="14">
        <v>409</v>
      </c>
      <c r="AL77" s="19">
        <v>5376</v>
      </c>
      <c r="AM77" s="19">
        <v>992</v>
      </c>
      <c r="AN77" s="15">
        <v>306</v>
      </c>
      <c r="AO77" s="14">
        <v>279</v>
      </c>
      <c r="AP77" s="19">
        <v>458</v>
      </c>
      <c r="AQ77" s="19">
        <v>3094</v>
      </c>
      <c r="AR77" s="19">
        <v>25</v>
      </c>
      <c r="AS77" s="19">
        <v>168</v>
      </c>
      <c r="AT77" s="19">
        <v>33</v>
      </c>
      <c r="AU77" s="19">
        <v>203</v>
      </c>
      <c r="AV77" s="14">
        <v>501</v>
      </c>
      <c r="AW77" s="19">
        <v>2282</v>
      </c>
      <c r="AX77" s="19">
        <v>14</v>
      </c>
      <c r="AY77" s="15">
        <v>119</v>
      </c>
      <c r="AZ77" s="14">
        <v>14</v>
      </c>
      <c r="BA77" s="15">
        <v>16</v>
      </c>
    </row>
    <row r="78" spans="1:53" x14ac:dyDescent="0.25">
      <c r="A78" s="4" t="s">
        <v>26</v>
      </c>
      <c r="B78" s="40">
        <v>2007</v>
      </c>
      <c r="C78" s="14">
        <v>7</v>
      </c>
      <c r="D78" s="19">
        <v>9</v>
      </c>
      <c r="E78" s="74" t="s">
        <v>96</v>
      </c>
      <c r="F78" s="19">
        <v>-3.6</v>
      </c>
      <c r="G78" s="19">
        <v>1.4</v>
      </c>
      <c r="H78" s="15">
        <v>-5</v>
      </c>
      <c r="I78" s="14">
        <v>346</v>
      </c>
      <c r="J78" s="19">
        <v>5166</v>
      </c>
      <c r="K78" s="19">
        <v>965</v>
      </c>
      <c r="L78" s="15">
        <v>303</v>
      </c>
      <c r="M78" s="14">
        <v>368</v>
      </c>
      <c r="N78" s="19">
        <v>587</v>
      </c>
      <c r="O78" s="19">
        <v>3878</v>
      </c>
      <c r="P78" s="19">
        <v>19</v>
      </c>
      <c r="Q78" s="19">
        <v>203</v>
      </c>
      <c r="R78" s="19">
        <v>79.400000000000006</v>
      </c>
      <c r="S78" s="19">
        <v>54</v>
      </c>
      <c r="T78" s="19">
        <v>338</v>
      </c>
      <c r="U78" s="14">
        <v>324</v>
      </c>
      <c r="V78" s="19">
        <v>1288</v>
      </c>
      <c r="W78" s="19">
        <v>13</v>
      </c>
      <c r="X78" s="15">
        <v>73</v>
      </c>
      <c r="Y78" s="14">
        <v>22</v>
      </c>
      <c r="Z78" s="22">
        <v>14</v>
      </c>
      <c r="AA78" s="14">
        <v>18</v>
      </c>
      <c r="AB78" s="15">
        <v>148</v>
      </c>
      <c r="AC78" s="14">
        <v>72</v>
      </c>
      <c r="AD78" s="19">
        <v>1628</v>
      </c>
      <c r="AE78" s="14">
        <v>18</v>
      </c>
      <c r="AF78" s="19">
        <v>15</v>
      </c>
      <c r="AG78" s="19">
        <v>17</v>
      </c>
      <c r="AH78" s="15">
        <v>14</v>
      </c>
      <c r="AI78" s="14">
        <v>68</v>
      </c>
      <c r="AJ78" s="15">
        <v>3012</v>
      </c>
      <c r="AK78" s="14">
        <v>444</v>
      </c>
      <c r="AL78" s="19">
        <v>6042</v>
      </c>
      <c r="AM78" s="19">
        <v>1087</v>
      </c>
      <c r="AN78" s="15">
        <v>363</v>
      </c>
      <c r="AO78" s="14">
        <v>422</v>
      </c>
      <c r="AP78" s="19">
        <v>602</v>
      </c>
      <c r="AQ78" s="19">
        <v>4131</v>
      </c>
      <c r="AR78" s="19">
        <v>32</v>
      </c>
      <c r="AS78" s="19">
        <v>221</v>
      </c>
      <c r="AT78" s="19">
        <v>37</v>
      </c>
      <c r="AU78" s="19">
        <v>256</v>
      </c>
      <c r="AV78" s="14">
        <v>448</v>
      </c>
      <c r="AW78" s="19">
        <v>1911</v>
      </c>
      <c r="AX78" s="19">
        <v>19</v>
      </c>
      <c r="AY78" s="15">
        <v>116</v>
      </c>
      <c r="AZ78" s="14">
        <v>17</v>
      </c>
      <c r="BA78" s="15">
        <v>18</v>
      </c>
    </row>
    <row r="79" spans="1:53" x14ac:dyDescent="0.25">
      <c r="A79" s="4" t="s">
        <v>24</v>
      </c>
      <c r="B79" s="40">
        <v>2007</v>
      </c>
      <c r="C79" s="14">
        <v>13</v>
      </c>
      <c r="D79" s="19">
        <v>3</v>
      </c>
      <c r="E79" s="74" t="s">
        <v>97</v>
      </c>
      <c r="F79" s="19">
        <v>9</v>
      </c>
      <c r="G79" s="19">
        <v>5.7</v>
      </c>
      <c r="H79" s="15">
        <v>3.3</v>
      </c>
      <c r="I79" s="14">
        <v>435</v>
      </c>
      <c r="J79" s="19">
        <v>5931</v>
      </c>
      <c r="K79" s="19">
        <v>985</v>
      </c>
      <c r="L79" s="15">
        <v>307</v>
      </c>
      <c r="M79" s="14">
        <v>383</v>
      </c>
      <c r="N79" s="19">
        <v>578</v>
      </c>
      <c r="O79" s="19">
        <v>4334</v>
      </c>
      <c r="P79" s="19">
        <v>30</v>
      </c>
      <c r="Q79" s="19">
        <v>210</v>
      </c>
      <c r="R79" s="19">
        <v>95.9</v>
      </c>
      <c r="S79" s="19">
        <v>19</v>
      </c>
      <c r="T79" s="19">
        <v>127</v>
      </c>
      <c r="U79" s="14">
        <v>388</v>
      </c>
      <c r="V79" s="19">
        <v>1597</v>
      </c>
      <c r="W79" s="19">
        <v>13</v>
      </c>
      <c r="X79" s="15">
        <v>69</v>
      </c>
      <c r="Y79" s="14">
        <v>15</v>
      </c>
      <c r="Z79" s="22">
        <v>9</v>
      </c>
      <c r="AA79" s="14">
        <v>48</v>
      </c>
      <c r="AB79" s="15">
        <v>492</v>
      </c>
      <c r="AC79" s="14">
        <v>62</v>
      </c>
      <c r="AD79" s="19">
        <v>1349</v>
      </c>
      <c r="AE79" s="14">
        <v>20</v>
      </c>
      <c r="AF79" s="19">
        <v>19</v>
      </c>
      <c r="AG79" s="19">
        <v>19</v>
      </c>
      <c r="AH79" s="15">
        <v>12</v>
      </c>
      <c r="AI79" s="14">
        <v>62</v>
      </c>
      <c r="AJ79" s="15">
        <v>2666</v>
      </c>
      <c r="AK79" s="14">
        <v>291</v>
      </c>
      <c r="AL79" s="19">
        <v>5013</v>
      </c>
      <c r="AM79" s="19">
        <v>994</v>
      </c>
      <c r="AN79" s="15">
        <v>297</v>
      </c>
      <c r="AO79" s="14">
        <v>295</v>
      </c>
      <c r="AP79" s="19">
        <v>534</v>
      </c>
      <c r="AQ79" s="19">
        <v>3366</v>
      </c>
      <c r="AR79" s="19">
        <v>23</v>
      </c>
      <c r="AS79" s="19">
        <v>176</v>
      </c>
      <c r="AT79" s="19">
        <v>36</v>
      </c>
      <c r="AU79" s="19">
        <v>218</v>
      </c>
      <c r="AV79" s="14">
        <v>424</v>
      </c>
      <c r="AW79" s="19">
        <v>1647</v>
      </c>
      <c r="AX79" s="19">
        <v>6</v>
      </c>
      <c r="AY79" s="15">
        <v>77</v>
      </c>
      <c r="AZ79" s="14">
        <v>19</v>
      </c>
      <c r="BA79" s="15">
        <v>9</v>
      </c>
    </row>
    <row r="80" spans="1:53" x14ac:dyDescent="0.25">
      <c r="A80" s="4" t="s">
        <v>12</v>
      </c>
      <c r="B80" s="40">
        <v>2007</v>
      </c>
      <c r="C80" s="14">
        <v>8</v>
      </c>
      <c r="D80" s="19">
        <v>8</v>
      </c>
      <c r="E80" s="74" t="s">
        <v>96</v>
      </c>
      <c r="F80" s="19">
        <v>0</v>
      </c>
      <c r="G80" s="19">
        <v>2.5</v>
      </c>
      <c r="H80" s="15">
        <v>-2.5</v>
      </c>
      <c r="I80" s="14">
        <v>379</v>
      </c>
      <c r="J80" s="19">
        <v>5337</v>
      </c>
      <c r="K80" s="19">
        <v>968</v>
      </c>
      <c r="L80" s="15">
        <v>295</v>
      </c>
      <c r="M80" s="14">
        <v>346</v>
      </c>
      <c r="N80" s="19">
        <v>529</v>
      </c>
      <c r="O80" s="19">
        <v>3751</v>
      </c>
      <c r="P80" s="19">
        <v>24</v>
      </c>
      <c r="Q80" s="19">
        <v>190</v>
      </c>
      <c r="R80" s="19">
        <v>86.1</v>
      </c>
      <c r="S80" s="19">
        <v>22</v>
      </c>
      <c r="T80" s="19">
        <v>174</v>
      </c>
      <c r="U80" s="14">
        <v>417</v>
      </c>
      <c r="V80" s="19">
        <v>1586</v>
      </c>
      <c r="W80" s="19">
        <v>12</v>
      </c>
      <c r="X80" s="15">
        <v>96</v>
      </c>
      <c r="Y80" s="14">
        <v>21</v>
      </c>
      <c r="Z80" s="22">
        <v>17</v>
      </c>
      <c r="AA80" s="14">
        <v>33</v>
      </c>
      <c r="AB80" s="15">
        <v>287</v>
      </c>
      <c r="AC80" s="14">
        <v>74</v>
      </c>
      <c r="AD80" s="19">
        <v>1961</v>
      </c>
      <c r="AE80" s="14">
        <v>14</v>
      </c>
      <c r="AF80" s="19">
        <v>13</v>
      </c>
      <c r="AG80" s="19">
        <v>15</v>
      </c>
      <c r="AH80" s="15">
        <v>12</v>
      </c>
      <c r="AI80" s="14">
        <v>55</v>
      </c>
      <c r="AJ80" s="15">
        <v>2294</v>
      </c>
      <c r="AK80" s="14">
        <v>384</v>
      </c>
      <c r="AL80" s="19">
        <v>5507</v>
      </c>
      <c r="AM80" s="19">
        <v>994</v>
      </c>
      <c r="AN80" s="15">
        <v>325</v>
      </c>
      <c r="AO80" s="14">
        <v>361</v>
      </c>
      <c r="AP80" s="19">
        <v>546</v>
      </c>
      <c r="AQ80" s="19">
        <v>3682</v>
      </c>
      <c r="AR80" s="19">
        <v>25</v>
      </c>
      <c r="AS80" s="19">
        <v>197</v>
      </c>
      <c r="AT80" s="19">
        <v>31</v>
      </c>
      <c r="AU80" s="19">
        <v>196</v>
      </c>
      <c r="AV80" s="14">
        <v>417</v>
      </c>
      <c r="AW80" s="19">
        <v>1825</v>
      </c>
      <c r="AX80" s="19">
        <v>15</v>
      </c>
      <c r="AY80" s="15">
        <v>107</v>
      </c>
      <c r="AZ80" s="14">
        <v>11</v>
      </c>
      <c r="BA80" s="15">
        <v>14</v>
      </c>
    </row>
    <row r="81" spans="1:53" x14ac:dyDescent="0.25">
      <c r="A81" s="4" t="s">
        <v>11</v>
      </c>
      <c r="B81" s="40">
        <v>2007</v>
      </c>
      <c r="C81" s="14">
        <v>13</v>
      </c>
      <c r="D81" s="19">
        <v>3</v>
      </c>
      <c r="E81" s="74" t="s">
        <v>97</v>
      </c>
      <c r="F81" s="19">
        <v>12</v>
      </c>
      <c r="G81" s="19">
        <v>6.6</v>
      </c>
      <c r="H81" s="15">
        <v>5.4</v>
      </c>
      <c r="I81" s="14">
        <v>450</v>
      </c>
      <c r="J81" s="19">
        <v>5739</v>
      </c>
      <c r="K81" s="19">
        <v>1020</v>
      </c>
      <c r="L81" s="15">
        <v>357</v>
      </c>
      <c r="M81" s="14">
        <v>355</v>
      </c>
      <c r="N81" s="19">
        <v>551</v>
      </c>
      <c r="O81" s="19">
        <v>4033</v>
      </c>
      <c r="P81" s="19">
        <v>32</v>
      </c>
      <c r="Q81" s="19">
        <v>212</v>
      </c>
      <c r="R81" s="19">
        <v>96.1</v>
      </c>
      <c r="S81" s="19">
        <v>23</v>
      </c>
      <c r="T81" s="19">
        <v>139</v>
      </c>
      <c r="U81" s="14">
        <v>446</v>
      </c>
      <c r="V81" s="19">
        <v>1706</v>
      </c>
      <c r="W81" s="19">
        <v>19</v>
      </c>
      <c r="X81" s="15">
        <v>119</v>
      </c>
      <c r="Y81" s="14">
        <v>14</v>
      </c>
      <c r="Z81" s="22">
        <v>5</v>
      </c>
      <c r="AA81" s="14">
        <v>25</v>
      </c>
      <c r="AB81" s="15">
        <v>280</v>
      </c>
      <c r="AC81" s="14">
        <v>53</v>
      </c>
      <c r="AD81" s="19">
        <v>1157</v>
      </c>
      <c r="AE81" s="14">
        <v>26</v>
      </c>
      <c r="AF81" s="19">
        <v>23</v>
      </c>
      <c r="AG81" s="19">
        <v>3</v>
      </c>
      <c r="AH81" s="15">
        <v>0</v>
      </c>
      <c r="AI81" s="14">
        <v>52</v>
      </c>
      <c r="AJ81" s="15">
        <v>2179</v>
      </c>
      <c r="AK81" s="14">
        <v>262</v>
      </c>
      <c r="AL81" s="19">
        <v>4475</v>
      </c>
      <c r="AM81" s="19">
        <v>980</v>
      </c>
      <c r="AN81" s="15">
        <v>288</v>
      </c>
      <c r="AO81" s="14">
        <v>325</v>
      </c>
      <c r="AP81" s="19">
        <v>498</v>
      </c>
      <c r="AQ81" s="19">
        <v>2764</v>
      </c>
      <c r="AR81" s="19">
        <v>16</v>
      </c>
      <c r="AS81" s="19">
        <v>162</v>
      </c>
      <c r="AT81" s="19">
        <v>28</v>
      </c>
      <c r="AU81" s="19">
        <v>162</v>
      </c>
      <c r="AV81" s="14">
        <v>454</v>
      </c>
      <c r="AW81" s="19">
        <v>1711</v>
      </c>
      <c r="AX81" s="19">
        <v>10</v>
      </c>
      <c r="AY81" s="15">
        <v>111</v>
      </c>
      <c r="AZ81" s="14">
        <v>22</v>
      </c>
      <c r="BA81" s="15">
        <v>15</v>
      </c>
    </row>
    <row r="82" spans="1:53" x14ac:dyDescent="0.25">
      <c r="A82" s="4" t="s">
        <v>14</v>
      </c>
      <c r="B82" s="40">
        <v>2007</v>
      </c>
      <c r="C82" s="14">
        <v>11</v>
      </c>
      <c r="D82" s="19">
        <v>5</v>
      </c>
      <c r="E82" s="74" t="s">
        <v>97</v>
      </c>
      <c r="F82" s="19">
        <v>6.8</v>
      </c>
      <c r="G82" s="19">
        <v>4.8</v>
      </c>
      <c r="H82" s="15">
        <v>2</v>
      </c>
      <c r="I82" s="14">
        <v>411</v>
      </c>
      <c r="J82" s="19">
        <v>5719</v>
      </c>
      <c r="K82" s="19">
        <v>1022</v>
      </c>
      <c r="L82" s="15">
        <v>328</v>
      </c>
      <c r="M82" s="14">
        <v>288</v>
      </c>
      <c r="N82" s="19">
        <v>469</v>
      </c>
      <c r="O82" s="19">
        <v>3328</v>
      </c>
      <c r="P82" s="19">
        <v>28</v>
      </c>
      <c r="Q82" s="19">
        <v>180</v>
      </c>
      <c r="R82" s="19">
        <v>97.1</v>
      </c>
      <c r="S82" s="19">
        <v>31</v>
      </c>
      <c r="T82" s="19">
        <v>167</v>
      </c>
      <c r="U82" s="14">
        <v>522</v>
      </c>
      <c r="V82" s="19">
        <v>2391</v>
      </c>
      <c r="W82" s="19">
        <v>18</v>
      </c>
      <c r="X82" s="15">
        <v>127</v>
      </c>
      <c r="Y82" s="14">
        <v>8</v>
      </c>
      <c r="Z82" s="22">
        <v>13</v>
      </c>
      <c r="AA82" s="14">
        <v>32</v>
      </c>
      <c r="AB82" s="15">
        <v>324</v>
      </c>
      <c r="AC82" s="14">
        <v>49</v>
      </c>
      <c r="AD82" s="19">
        <v>1110</v>
      </c>
      <c r="AE82" s="14">
        <v>17</v>
      </c>
      <c r="AF82" s="19">
        <v>17</v>
      </c>
      <c r="AG82" s="19">
        <v>7</v>
      </c>
      <c r="AH82" s="15">
        <v>4</v>
      </c>
      <c r="AI82" s="14">
        <v>54</v>
      </c>
      <c r="AJ82" s="15">
        <v>2246</v>
      </c>
      <c r="AK82" s="14">
        <v>304</v>
      </c>
      <c r="AL82" s="19">
        <v>5021</v>
      </c>
      <c r="AM82" s="19">
        <v>970</v>
      </c>
      <c r="AN82" s="15">
        <v>286</v>
      </c>
      <c r="AO82" s="14">
        <v>319</v>
      </c>
      <c r="AP82" s="19">
        <v>543</v>
      </c>
      <c r="AQ82" s="19">
        <v>3416</v>
      </c>
      <c r="AR82" s="19">
        <v>20</v>
      </c>
      <c r="AS82" s="19">
        <v>181</v>
      </c>
      <c r="AT82" s="19">
        <v>37</v>
      </c>
      <c r="AU82" s="19">
        <v>244</v>
      </c>
      <c r="AV82" s="14">
        <v>390</v>
      </c>
      <c r="AW82" s="19">
        <v>1605</v>
      </c>
      <c r="AX82" s="19">
        <v>12</v>
      </c>
      <c r="AY82" s="15">
        <v>92</v>
      </c>
      <c r="AZ82" s="14">
        <v>20</v>
      </c>
      <c r="BA82" s="15">
        <v>10</v>
      </c>
    </row>
    <row r="83" spans="1:53" x14ac:dyDescent="0.25">
      <c r="A83" s="4" t="s">
        <v>18</v>
      </c>
      <c r="B83" s="40">
        <v>2007</v>
      </c>
      <c r="C83" s="14">
        <v>4</v>
      </c>
      <c r="D83" s="19">
        <v>12</v>
      </c>
      <c r="E83" s="74" t="s">
        <v>96</v>
      </c>
      <c r="F83" s="19">
        <v>-5.5</v>
      </c>
      <c r="G83" s="19">
        <v>-7.4</v>
      </c>
      <c r="H83" s="15">
        <v>1.9</v>
      </c>
      <c r="I83" s="14">
        <v>226</v>
      </c>
      <c r="J83" s="19">
        <v>4429</v>
      </c>
      <c r="K83" s="19">
        <v>1001</v>
      </c>
      <c r="L83" s="15">
        <v>255</v>
      </c>
      <c r="M83" s="14">
        <v>335</v>
      </c>
      <c r="N83" s="19">
        <v>563</v>
      </c>
      <c r="O83" s="19">
        <v>3181</v>
      </c>
      <c r="P83" s="19">
        <v>17</v>
      </c>
      <c r="Q83" s="19">
        <v>171</v>
      </c>
      <c r="R83" s="19">
        <v>73</v>
      </c>
      <c r="S83" s="19">
        <v>55</v>
      </c>
      <c r="T83" s="19">
        <v>344</v>
      </c>
      <c r="U83" s="14">
        <v>383</v>
      </c>
      <c r="V83" s="19">
        <v>1248</v>
      </c>
      <c r="W83" s="19">
        <v>6</v>
      </c>
      <c r="X83" s="15">
        <v>66</v>
      </c>
      <c r="Y83" s="14">
        <v>20</v>
      </c>
      <c r="Z83" s="22">
        <v>13</v>
      </c>
      <c r="AA83" s="14">
        <v>40</v>
      </c>
      <c r="AB83" s="15">
        <v>302</v>
      </c>
      <c r="AC83" s="14">
        <v>67</v>
      </c>
      <c r="AD83" s="19">
        <v>1286</v>
      </c>
      <c r="AE83" s="14">
        <v>17</v>
      </c>
      <c r="AF83" s="19">
        <v>13</v>
      </c>
      <c r="AG83" s="19">
        <v>10</v>
      </c>
      <c r="AH83" s="15">
        <v>6</v>
      </c>
      <c r="AI83" s="14">
        <v>96</v>
      </c>
      <c r="AJ83" s="15">
        <v>4320</v>
      </c>
      <c r="AK83" s="14">
        <v>335</v>
      </c>
      <c r="AL83" s="19">
        <v>5111</v>
      </c>
      <c r="AM83" s="19">
        <v>980</v>
      </c>
      <c r="AN83" s="15">
        <v>278</v>
      </c>
      <c r="AO83" s="14">
        <v>276</v>
      </c>
      <c r="AP83" s="19">
        <v>462</v>
      </c>
      <c r="AQ83" s="19">
        <v>3022</v>
      </c>
      <c r="AR83" s="19">
        <v>17</v>
      </c>
      <c r="AS83" s="19">
        <v>156</v>
      </c>
      <c r="AT83" s="19">
        <v>37</v>
      </c>
      <c r="AU83" s="19">
        <v>252</v>
      </c>
      <c r="AV83" s="14">
        <v>481</v>
      </c>
      <c r="AW83" s="19">
        <v>2089</v>
      </c>
      <c r="AX83" s="19">
        <v>11</v>
      </c>
      <c r="AY83" s="15">
        <v>104</v>
      </c>
      <c r="AZ83" s="14">
        <v>14</v>
      </c>
      <c r="BA83" s="15">
        <v>8</v>
      </c>
    </row>
    <row r="84" spans="1:53" x14ac:dyDescent="0.25">
      <c r="A84" s="4" t="s">
        <v>5</v>
      </c>
      <c r="B84" s="40">
        <v>2007</v>
      </c>
      <c r="C84" s="14">
        <v>1</v>
      </c>
      <c r="D84" s="19">
        <v>15</v>
      </c>
      <c r="E84" s="74" t="s">
        <v>96</v>
      </c>
      <c r="F84" s="19">
        <v>-8.4</v>
      </c>
      <c r="G84" s="19">
        <v>-4.0999999999999996</v>
      </c>
      <c r="H84" s="15">
        <v>-4.2</v>
      </c>
      <c r="I84" s="14">
        <v>267</v>
      </c>
      <c r="J84" s="19">
        <v>4600</v>
      </c>
      <c r="K84" s="19">
        <v>989</v>
      </c>
      <c r="L84" s="15">
        <v>283</v>
      </c>
      <c r="M84" s="14">
        <v>318</v>
      </c>
      <c r="N84" s="19">
        <v>558</v>
      </c>
      <c r="O84" s="19">
        <v>3031</v>
      </c>
      <c r="P84" s="19">
        <v>12</v>
      </c>
      <c r="Q84" s="19">
        <v>162</v>
      </c>
      <c r="R84" s="19">
        <v>69.599999999999994</v>
      </c>
      <c r="S84" s="19">
        <v>42</v>
      </c>
      <c r="T84" s="19">
        <v>288</v>
      </c>
      <c r="U84" s="14">
        <v>389</v>
      </c>
      <c r="V84" s="19">
        <v>1569</v>
      </c>
      <c r="W84" s="19">
        <v>14</v>
      </c>
      <c r="X84" s="15">
        <v>107</v>
      </c>
      <c r="Y84" s="14">
        <v>16</v>
      </c>
      <c r="Z84" s="22">
        <v>13</v>
      </c>
      <c r="AA84" s="14">
        <v>24</v>
      </c>
      <c r="AB84" s="15">
        <v>230</v>
      </c>
      <c r="AC84" s="14">
        <v>78</v>
      </c>
      <c r="AD84" s="19">
        <v>1552</v>
      </c>
      <c r="AE84" s="14">
        <v>13</v>
      </c>
      <c r="AF84" s="19">
        <v>13</v>
      </c>
      <c r="AG84" s="19">
        <v>10</v>
      </c>
      <c r="AH84" s="15">
        <v>8</v>
      </c>
      <c r="AI84" s="14">
        <v>77</v>
      </c>
      <c r="AJ84" s="15">
        <v>3326</v>
      </c>
      <c r="AK84" s="14">
        <v>437</v>
      </c>
      <c r="AL84" s="19">
        <v>5475</v>
      </c>
      <c r="AM84" s="19">
        <v>983</v>
      </c>
      <c r="AN84" s="15">
        <v>318</v>
      </c>
      <c r="AO84" s="14">
        <v>242</v>
      </c>
      <c r="AP84" s="19">
        <v>409</v>
      </c>
      <c r="AQ84" s="19">
        <v>3019</v>
      </c>
      <c r="AR84" s="19">
        <v>28</v>
      </c>
      <c r="AS84" s="19">
        <v>165</v>
      </c>
      <c r="AT84" s="19">
        <v>30</v>
      </c>
      <c r="AU84" s="19">
        <v>167</v>
      </c>
      <c r="AV84" s="14">
        <v>544</v>
      </c>
      <c r="AW84" s="19">
        <v>2456</v>
      </c>
      <c r="AX84" s="19">
        <v>18</v>
      </c>
      <c r="AY84" s="15">
        <v>129</v>
      </c>
      <c r="AZ84" s="14">
        <v>14</v>
      </c>
      <c r="BA84" s="15">
        <v>8</v>
      </c>
    </row>
    <row r="85" spans="1:53" x14ac:dyDescent="0.25">
      <c r="A85" s="4" t="s">
        <v>23</v>
      </c>
      <c r="B85" s="40">
        <v>2007</v>
      </c>
      <c r="C85" s="14">
        <v>8</v>
      </c>
      <c r="D85" s="19">
        <v>8</v>
      </c>
      <c r="E85" s="74" t="s">
        <v>96</v>
      </c>
      <c r="F85" s="19">
        <v>3.8</v>
      </c>
      <c r="G85" s="19">
        <v>1.4</v>
      </c>
      <c r="H85" s="15">
        <v>2.4</v>
      </c>
      <c r="I85" s="14">
        <v>365</v>
      </c>
      <c r="J85" s="19">
        <v>5379</v>
      </c>
      <c r="K85" s="19">
        <v>964</v>
      </c>
      <c r="L85" s="15">
        <v>294</v>
      </c>
      <c r="M85" s="14">
        <v>249</v>
      </c>
      <c r="N85" s="19">
        <v>432</v>
      </c>
      <c r="O85" s="19">
        <v>2745</v>
      </c>
      <c r="P85" s="19">
        <v>12</v>
      </c>
      <c r="Q85" s="19">
        <v>139</v>
      </c>
      <c r="R85" s="19">
        <v>74.2</v>
      </c>
      <c r="S85" s="19">
        <v>38</v>
      </c>
      <c r="T85" s="19">
        <v>193</v>
      </c>
      <c r="U85" s="14">
        <v>494</v>
      </c>
      <c r="V85" s="19">
        <v>2634</v>
      </c>
      <c r="W85" s="19">
        <v>22</v>
      </c>
      <c r="X85" s="15">
        <v>131</v>
      </c>
      <c r="Y85" s="14">
        <v>14</v>
      </c>
      <c r="Z85" s="22">
        <v>16</v>
      </c>
      <c r="AA85" s="14">
        <v>29</v>
      </c>
      <c r="AB85" s="15">
        <v>242</v>
      </c>
      <c r="AC85" s="14">
        <v>59</v>
      </c>
      <c r="AD85" s="19">
        <v>1461</v>
      </c>
      <c r="AE85" s="14">
        <v>9</v>
      </c>
      <c r="AF85" s="19">
        <v>9</v>
      </c>
      <c r="AG85" s="19">
        <v>15</v>
      </c>
      <c r="AH85" s="15">
        <v>11</v>
      </c>
      <c r="AI85" s="14">
        <v>81</v>
      </c>
      <c r="AJ85" s="15">
        <v>3621</v>
      </c>
      <c r="AK85" s="14">
        <v>311</v>
      </c>
      <c r="AL85" s="19">
        <v>5410</v>
      </c>
      <c r="AM85" s="19">
        <v>1063</v>
      </c>
      <c r="AN85" s="15">
        <v>305</v>
      </c>
      <c r="AO85" s="14">
        <v>415</v>
      </c>
      <c r="AP85" s="19">
        <v>646</v>
      </c>
      <c r="AQ85" s="19">
        <v>4225</v>
      </c>
      <c r="AR85" s="19">
        <v>22</v>
      </c>
      <c r="AS85" s="19">
        <v>222</v>
      </c>
      <c r="AT85" s="19">
        <v>38</v>
      </c>
      <c r="AU85" s="19">
        <v>275</v>
      </c>
      <c r="AV85" s="14">
        <v>379</v>
      </c>
      <c r="AW85" s="19">
        <v>1185</v>
      </c>
      <c r="AX85" s="19">
        <v>7</v>
      </c>
      <c r="AY85" s="15">
        <v>67</v>
      </c>
      <c r="AZ85" s="14">
        <v>15</v>
      </c>
      <c r="BA85" s="15">
        <v>16</v>
      </c>
    </row>
    <row r="86" spans="1:53" x14ac:dyDescent="0.25">
      <c r="A86" s="4" t="s">
        <v>3</v>
      </c>
      <c r="B86" s="40">
        <v>2007</v>
      </c>
      <c r="C86" s="14">
        <v>16</v>
      </c>
      <c r="D86" s="19">
        <v>0</v>
      </c>
      <c r="E86" s="74" t="s">
        <v>97</v>
      </c>
      <c r="F86" s="19">
        <v>20.100000000000001</v>
      </c>
      <c r="G86" s="19">
        <v>15.9</v>
      </c>
      <c r="H86" s="15">
        <v>4.2</v>
      </c>
      <c r="I86" s="14">
        <v>589</v>
      </c>
      <c r="J86" s="19">
        <v>6580</v>
      </c>
      <c r="K86" s="19">
        <v>1058</v>
      </c>
      <c r="L86" s="15">
        <v>393</v>
      </c>
      <c r="M86" s="14">
        <v>403</v>
      </c>
      <c r="N86" s="19">
        <v>586</v>
      </c>
      <c r="O86" s="19">
        <v>4731</v>
      </c>
      <c r="P86" s="19">
        <v>50</v>
      </c>
      <c r="Q86" s="19">
        <v>243</v>
      </c>
      <c r="R86" s="19">
        <v>116</v>
      </c>
      <c r="S86" s="19">
        <v>21</v>
      </c>
      <c r="T86" s="19">
        <v>128</v>
      </c>
      <c r="U86" s="14">
        <v>451</v>
      </c>
      <c r="V86" s="19">
        <v>1849</v>
      </c>
      <c r="W86" s="19">
        <v>17</v>
      </c>
      <c r="X86" s="15">
        <v>124</v>
      </c>
      <c r="Y86" s="14">
        <v>9</v>
      </c>
      <c r="Z86" s="22">
        <v>6</v>
      </c>
      <c r="AA86" s="14">
        <v>33</v>
      </c>
      <c r="AB86" s="15">
        <v>311</v>
      </c>
      <c r="AC86" s="14">
        <v>55</v>
      </c>
      <c r="AD86" s="19">
        <v>1384</v>
      </c>
      <c r="AE86" s="14">
        <v>19</v>
      </c>
      <c r="AF86" s="19">
        <v>18</v>
      </c>
      <c r="AG86" s="19">
        <v>5</v>
      </c>
      <c r="AH86" s="15">
        <v>3</v>
      </c>
      <c r="AI86" s="14">
        <v>45</v>
      </c>
      <c r="AJ86" s="15">
        <v>1822</v>
      </c>
      <c r="AK86" s="14">
        <v>274</v>
      </c>
      <c r="AL86" s="19">
        <v>4613</v>
      </c>
      <c r="AM86" s="19">
        <v>933</v>
      </c>
      <c r="AN86" s="15">
        <v>278</v>
      </c>
      <c r="AO86" s="14">
        <v>314</v>
      </c>
      <c r="AP86" s="19">
        <v>526</v>
      </c>
      <c r="AQ86" s="19">
        <v>3041</v>
      </c>
      <c r="AR86" s="19">
        <v>23</v>
      </c>
      <c r="AS86" s="19">
        <v>172</v>
      </c>
      <c r="AT86" s="19">
        <v>47</v>
      </c>
      <c r="AU86" s="19">
        <v>340</v>
      </c>
      <c r="AV86" s="14">
        <v>360</v>
      </c>
      <c r="AW86" s="19">
        <v>1572</v>
      </c>
      <c r="AX86" s="19">
        <v>7</v>
      </c>
      <c r="AY86" s="15">
        <v>91</v>
      </c>
      <c r="AZ86" s="14">
        <v>19</v>
      </c>
      <c r="BA86" s="15">
        <v>12</v>
      </c>
    </row>
    <row r="87" spans="1:53" x14ac:dyDescent="0.25">
      <c r="A87" s="4" t="s">
        <v>27</v>
      </c>
      <c r="B87" s="40">
        <v>2007</v>
      </c>
      <c r="C87" s="14">
        <v>7</v>
      </c>
      <c r="D87" s="19">
        <v>9</v>
      </c>
      <c r="E87" s="74" t="s">
        <v>96</v>
      </c>
      <c r="F87" s="19">
        <v>-2.5</v>
      </c>
      <c r="G87" s="19">
        <v>1.9</v>
      </c>
      <c r="H87" s="15">
        <v>-4.5</v>
      </c>
      <c r="I87" s="14">
        <v>379</v>
      </c>
      <c r="J87" s="19">
        <v>5780</v>
      </c>
      <c r="K87" s="19">
        <v>1060</v>
      </c>
      <c r="L87" s="15">
        <v>346</v>
      </c>
      <c r="M87" s="14">
        <v>440</v>
      </c>
      <c r="N87" s="19">
        <v>652</v>
      </c>
      <c r="O87" s="19">
        <v>4314</v>
      </c>
      <c r="P87" s="19">
        <v>28</v>
      </c>
      <c r="Q87" s="19">
        <v>232</v>
      </c>
      <c r="R87" s="19">
        <v>89.4</v>
      </c>
      <c r="S87" s="19">
        <v>16</v>
      </c>
      <c r="T87" s="19">
        <v>109</v>
      </c>
      <c r="U87" s="14">
        <v>392</v>
      </c>
      <c r="V87" s="19">
        <v>1466</v>
      </c>
      <c r="W87" s="19">
        <v>14</v>
      </c>
      <c r="X87" s="15">
        <v>94</v>
      </c>
      <c r="Y87" s="14">
        <v>18</v>
      </c>
      <c r="Z87" s="22">
        <v>12</v>
      </c>
      <c r="AA87" s="14">
        <v>24</v>
      </c>
      <c r="AB87" s="15">
        <v>197</v>
      </c>
      <c r="AC87" s="14">
        <v>71</v>
      </c>
      <c r="AD87" s="19">
        <v>1513</v>
      </c>
      <c r="AE87" s="14">
        <v>11</v>
      </c>
      <c r="AF87" s="19">
        <v>9</v>
      </c>
      <c r="AG87" s="19">
        <v>11</v>
      </c>
      <c r="AH87" s="15">
        <v>6</v>
      </c>
      <c r="AI87" s="14">
        <v>63</v>
      </c>
      <c r="AJ87" s="15">
        <v>2759</v>
      </c>
      <c r="AK87" s="14">
        <v>388</v>
      </c>
      <c r="AL87" s="19">
        <v>5570</v>
      </c>
      <c r="AM87" s="19">
        <v>964</v>
      </c>
      <c r="AN87" s="15">
        <v>288</v>
      </c>
      <c r="AO87" s="14">
        <v>327</v>
      </c>
      <c r="AP87" s="19">
        <v>524</v>
      </c>
      <c r="AQ87" s="19">
        <v>3924</v>
      </c>
      <c r="AR87" s="19">
        <v>32</v>
      </c>
      <c r="AS87" s="19">
        <v>196</v>
      </c>
      <c r="AT87" s="19">
        <v>32</v>
      </c>
      <c r="AU87" s="19">
        <v>198</v>
      </c>
      <c r="AV87" s="14">
        <v>408</v>
      </c>
      <c r="AW87" s="19">
        <v>1646</v>
      </c>
      <c r="AX87" s="19">
        <v>7</v>
      </c>
      <c r="AY87" s="15">
        <v>80</v>
      </c>
      <c r="AZ87" s="14">
        <v>13</v>
      </c>
      <c r="BA87" s="15">
        <v>10</v>
      </c>
    </row>
    <row r="88" spans="1:53" x14ac:dyDescent="0.25">
      <c r="A88" s="4" t="s">
        <v>21</v>
      </c>
      <c r="B88" s="40">
        <v>2007</v>
      </c>
      <c r="C88" s="14">
        <v>10</v>
      </c>
      <c r="D88" s="19">
        <v>6</v>
      </c>
      <c r="E88" s="74" t="s">
        <v>97</v>
      </c>
      <c r="F88" s="19">
        <v>3.3</v>
      </c>
      <c r="G88" s="19">
        <v>2.8</v>
      </c>
      <c r="H88" s="15">
        <v>0.4</v>
      </c>
      <c r="I88" s="14">
        <v>373</v>
      </c>
      <c r="J88" s="19">
        <v>5302</v>
      </c>
      <c r="K88" s="19">
        <v>1041</v>
      </c>
      <c r="L88" s="15">
        <v>321</v>
      </c>
      <c r="M88" s="14">
        <v>302</v>
      </c>
      <c r="N88" s="19">
        <v>544</v>
      </c>
      <c r="O88" s="19">
        <v>3154</v>
      </c>
      <c r="P88" s="19">
        <v>23</v>
      </c>
      <c r="Q88" s="19">
        <v>167</v>
      </c>
      <c r="R88" s="19">
        <v>73</v>
      </c>
      <c r="S88" s="19">
        <v>28</v>
      </c>
      <c r="T88" s="19">
        <v>222</v>
      </c>
      <c r="U88" s="14">
        <v>469</v>
      </c>
      <c r="V88" s="19">
        <v>2148</v>
      </c>
      <c r="W88" s="19">
        <v>15</v>
      </c>
      <c r="X88" s="15">
        <v>119</v>
      </c>
      <c r="Y88" s="14">
        <v>20</v>
      </c>
      <c r="Z88" s="22">
        <v>14</v>
      </c>
      <c r="AA88" s="14">
        <v>43</v>
      </c>
      <c r="AB88" s="15">
        <v>319</v>
      </c>
      <c r="AC88" s="14">
        <v>66</v>
      </c>
      <c r="AD88" s="19">
        <v>1579</v>
      </c>
      <c r="AE88" s="14">
        <v>19</v>
      </c>
      <c r="AF88" s="19">
        <v>15</v>
      </c>
      <c r="AG88" s="19">
        <v>8</v>
      </c>
      <c r="AH88" s="15">
        <v>8</v>
      </c>
      <c r="AI88" s="14">
        <v>72</v>
      </c>
      <c r="AJ88" s="15">
        <v>2866</v>
      </c>
      <c r="AK88" s="14">
        <v>351</v>
      </c>
      <c r="AL88" s="19">
        <v>4880</v>
      </c>
      <c r="AM88" s="19">
        <v>984</v>
      </c>
      <c r="AN88" s="15">
        <v>288</v>
      </c>
      <c r="AO88" s="14">
        <v>306</v>
      </c>
      <c r="AP88" s="19">
        <v>523</v>
      </c>
      <c r="AQ88" s="19">
        <v>3317</v>
      </c>
      <c r="AR88" s="19">
        <v>24</v>
      </c>
      <c r="AS88" s="19">
        <v>185</v>
      </c>
      <c r="AT88" s="19">
        <v>53</v>
      </c>
      <c r="AU88" s="19">
        <v>349</v>
      </c>
      <c r="AV88" s="14">
        <v>408</v>
      </c>
      <c r="AW88" s="19">
        <v>1563</v>
      </c>
      <c r="AX88" s="19">
        <v>12</v>
      </c>
      <c r="AY88" s="15">
        <v>83</v>
      </c>
      <c r="AZ88" s="14">
        <v>15</v>
      </c>
      <c r="BA88" s="15">
        <v>10</v>
      </c>
    </row>
    <row r="89" spans="1:53" x14ac:dyDescent="0.25">
      <c r="A89" s="4" t="s">
        <v>4</v>
      </c>
      <c r="B89" s="40">
        <v>2007</v>
      </c>
      <c r="C89" s="14">
        <v>4</v>
      </c>
      <c r="D89" s="19">
        <v>12</v>
      </c>
      <c r="E89" s="74" t="s">
        <v>96</v>
      </c>
      <c r="F89" s="19">
        <v>-3.7</v>
      </c>
      <c r="G89" s="19">
        <v>-4</v>
      </c>
      <c r="H89" s="15">
        <v>0.3</v>
      </c>
      <c r="I89" s="14">
        <v>268</v>
      </c>
      <c r="J89" s="19">
        <v>4715</v>
      </c>
      <c r="K89" s="19">
        <v>1011</v>
      </c>
      <c r="L89" s="15">
        <v>286</v>
      </c>
      <c r="M89" s="14">
        <v>310</v>
      </c>
      <c r="N89" s="19">
        <v>512</v>
      </c>
      <c r="O89" s="19">
        <v>3014</v>
      </c>
      <c r="P89" s="19">
        <v>15</v>
      </c>
      <c r="Q89" s="19">
        <v>173</v>
      </c>
      <c r="R89" s="19">
        <v>73.900000000000006</v>
      </c>
      <c r="S89" s="19">
        <v>53</v>
      </c>
      <c r="T89" s="19">
        <v>316</v>
      </c>
      <c r="U89" s="14">
        <v>446</v>
      </c>
      <c r="V89" s="19">
        <v>1701</v>
      </c>
      <c r="W89" s="19">
        <v>6</v>
      </c>
      <c r="X89" s="15">
        <v>92</v>
      </c>
      <c r="Y89" s="14">
        <v>19</v>
      </c>
      <c r="Z89" s="22">
        <v>6</v>
      </c>
      <c r="AA89" s="14">
        <v>20</v>
      </c>
      <c r="AB89" s="15">
        <v>183</v>
      </c>
      <c r="AC89" s="14">
        <v>74</v>
      </c>
      <c r="AD89" s="19">
        <v>1695</v>
      </c>
      <c r="AE89" s="14">
        <v>24</v>
      </c>
      <c r="AF89" s="19">
        <v>22</v>
      </c>
      <c r="AG89" s="19">
        <v>12</v>
      </c>
      <c r="AH89" s="15">
        <v>7</v>
      </c>
      <c r="AI89" s="14">
        <v>72</v>
      </c>
      <c r="AJ89" s="15">
        <v>3060</v>
      </c>
      <c r="AK89" s="14">
        <v>355</v>
      </c>
      <c r="AL89" s="19">
        <v>5310</v>
      </c>
      <c r="AM89" s="19">
        <v>1016</v>
      </c>
      <c r="AN89" s="15">
        <v>315</v>
      </c>
      <c r="AO89" s="14">
        <v>289</v>
      </c>
      <c r="AP89" s="19">
        <v>470</v>
      </c>
      <c r="AQ89" s="19">
        <v>3154</v>
      </c>
      <c r="AR89" s="19">
        <v>18</v>
      </c>
      <c r="AS89" s="19">
        <v>174</v>
      </c>
      <c r="AT89" s="19">
        <v>29</v>
      </c>
      <c r="AU89" s="19">
        <v>208</v>
      </c>
      <c r="AV89" s="14">
        <v>517</v>
      </c>
      <c r="AW89" s="19">
        <v>2156</v>
      </c>
      <c r="AX89" s="19">
        <v>14</v>
      </c>
      <c r="AY89" s="15">
        <v>128</v>
      </c>
      <c r="AZ89" s="14">
        <v>15</v>
      </c>
      <c r="BA89" s="15">
        <v>6</v>
      </c>
    </row>
    <row r="90" spans="1:53" x14ac:dyDescent="0.25">
      <c r="A90" s="4" t="s">
        <v>17</v>
      </c>
      <c r="B90" s="40">
        <v>2007</v>
      </c>
      <c r="C90" s="14">
        <v>4</v>
      </c>
      <c r="D90" s="19">
        <v>12</v>
      </c>
      <c r="E90" s="74" t="s">
        <v>96</v>
      </c>
      <c r="F90" s="19">
        <v>-6</v>
      </c>
      <c r="G90" s="19">
        <v>-3.5</v>
      </c>
      <c r="H90" s="15">
        <v>-2.5</v>
      </c>
      <c r="I90" s="14">
        <v>283</v>
      </c>
      <c r="J90" s="19">
        <v>4717</v>
      </c>
      <c r="K90" s="19">
        <v>1000</v>
      </c>
      <c r="L90" s="15">
        <v>267</v>
      </c>
      <c r="M90" s="14">
        <v>260</v>
      </c>
      <c r="N90" s="19">
        <v>451</v>
      </c>
      <c r="O90" s="19">
        <v>2631</v>
      </c>
      <c r="P90" s="19">
        <v>17</v>
      </c>
      <c r="Q90" s="19">
        <v>133</v>
      </c>
      <c r="R90" s="19">
        <v>70.900000000000006</v>
      </c>
      <c r="S90" s="19">
        <v>41</v>
      </c>
      <c r="T90" s="19">
        <v>262</v>
      </c>
      <c r="U90" s="14">
        <v>508</v>
      </c>
      <c r="V90" s="19">
        <v>2086</v>
      </c>
      <c r="W90" s="19">
        <v>11</v>
      </c>
      <c r="X90" s="15">
        <v>111</v>
      </c>
      <c r="Y90" s="14">
        <v>20</v>
      </c>
      <c r="Z90" s="22">
        <v>17</v>
      </c>
      <c r="AA90" s="14">
        <v>38</v>
      </c>
      <c r="AB90" s="15">
        <v>209</v>
      </c>
      <c r="AC90" s="14">
        <v>78</v>
      </c>
      <c r="AD90" s="19">
        <v>1686</v>
      </c>
      <c r="AE90" s="14">
        <v>11</v>
      </c>
      <c r="AF90" s="19">
        <v>10</v>
      </c>
      <c r="AG90" s="19">
        <v>21</v>
      </c>
      <c r="AH90" s="15">
        <v>13</v>
      </c>
      <c r="AI90" s="14">
        <v>73</v>
      </c>
      <c r="AJ90" s="15">
        <v>3584</v>
      </c>
      <c r="AK90" s="14">
        <v>398</v>
      </c>
      <c r="AL90" s="19">
        <v>5466</v>
      </c>
      <c r="AM90" s="19">
        <v>952</v>
      </c>
      <c r="AN90" s="15">
        <v>292</v>
      </c>
      <c r="AO90" s="14">
        <v>261</v>
      </c>
      <c r="AP90" s="19">
        <v>439</v>
      </c>
      <c r="AQ90" s="19">
        <v>3132</v>
      </c>
      <c r="AR90" s="19">
        <v>17</v>
      </c>
      <c r="AS90" s="19">
        <v>156</v>
      </c>
      <c r="AT90" s="19">
        <v>27</v>
      </c>
      <c r="AU90" s="19">
        <v>186</v>
      </c>
      <c r="AV90" s="14">
        <v>486</v>
      </c>
      <c r="AW90" s="19">
        <v>2334</v>
      </c>
      <c r="AX90" s="19">
        <v>24</v>
      </c>
      <c r="AY90" s="15">
        <v>121</v>
      </c>
      <c r="AZ90" s="14">
        <v>18</v>
      </c>
      <c r="BA90" s="15">
        <v>8</v>
      </c>
    </row>
    <row r="91" spans="1:53" x14ac:dyDescent="0.25">
      <c r="A91" s="4" t="s">
        <v>20</v>
      </c>
      <c r="B91" s="40">
        <v>2007</v>
      </c>
      <c r="C91" s="14">
        <v>8</v>
      </c>
      <c r="D91" s="19">
        <v>8</v>
      </c>
      <c r="E91" s="74" t="s">
        <v>96</v>
      </c>
      <c r="F91" s="19">
        <v>5.3</v>
      </c>
      <c r="G91" s="19">
        <v>0.1</v>
      </c>
      <c r="H91" s="15">
        <v>5.0999999999999996</v>
      </c>
      <c r="I91" s="14">
        <v>336</v>
      </c>
      <c r="J91" s="19">
        <v>5729</v>
      </c>
      <c r="K91" s="19">
        <v>1047</v>
      </c>
      <c r="L91" s="15">
        <v>323</v>
      </c>
      <c r="M91" s="14">
        <v>350</v>
      </c>
      <c r="N91" s="19">
        <v>577</v>
      </c>
      <c r="O91" s="19">
        <v>3755</v>
      </c>
      <c r="P91" s="19">
        <v>24</v>
      </c>
      <c r="Q91" s="19">
        <v>186</v>
      </c>
      <c r="R91" s="19">
        <v>84.6</v>
      </c>
      <c r="S91" s="19">
        <v>49</v>
      </c>
      <c r="T91" s="19">
        <v>250</v>
      </c>
      <c r="U91" s="14">
        <v>421</v>
      </c>
      <c r="V91" s="19">
        <v>1974</v>
      </c>
      <c r="W91" s="19">
        <v>12</v>
      </c>
      <c r="X91" s="15">
        <v>118</v>
      </c>
      <c r="Y91" s="14">
        <v>15</v>
      </c>
      <c r="Z91" s="22">
        <v>12</v>
      </c>
      <c r="AA91" s="14">
        <v>42</v>
      </c>
      <c r="AB91" s="15">
        <v>340</v>
      </c>
      <c r="AC91" s="14">
        <v>71</v>
      </c>
      <c r="AD91" s="19">
        <v>1539</v>
      </c>
      <c r="AE91" s="14">
        <v>22</v>
      </c>
      <c r="AF91" s="19">
        <v>22</v>
      </c>
      <c r="AG91" s="19">
        <v>10</v>
      </c>
      <c r="AH91" s="15">
        <v>2</v>
      </c>
      <c r="AI91" s="14">
        <v>73</v>
      </c>
      <c r="AJ91" s="15">
        <v>3066</v>
      </c>
      <c r="AK91" s="14">
        <v>300</v>
      </c>
      <c r="AL91" s="19">
        <v>4982</v>
      </c>
      <c r="AM91" s="19">
        <v>979</v>
      </c>
      <c r="AN91" s="15">
        <v>279</v>
      </c>
      <c r="AO91" s="14">
        <v>312</v>
      </c>
      <c r="AP91" s="19">
        <v>539</v>
      </c>
      <c r="AQ91" s="19">
        <v>3449</v>
      </c>
      <c r="AR91" s="19">
        <v>16</v>
      </c>
      <c r="AS91" s="19">
        <v>177</v>
      </c>
      <c r="AT91" s="19">
        <v>37</v>
      </c>
      <c r="AU91" s="19">
        <v>244</v>
      </c>
      <c r="AV91" s="14">
        <v>403</v>
      </c>
      <c r="AW91" s="19">
        <v>1533</v>
      </c>
      <c r="AX91" s="19">
        <v>10</v>
      </c>
      <c r="AY91" s="15">
        <v>80</v>
      </c>
      <c r="AZ91" s="14">
        <v>11</v>
      </c>
      <c r="BA91" s="15">
        <v>8</v>
      </c>
    </row>
    <row r="92" spans="1:53" x14ac:dyDescent="0.25">
      <c r="A92" s="4" t="s">
        <v>9</v>
      </c>
      <c r="B92" s="40">
        <v>2007</v>
      </c>
      <c r="C92" s="14">
        <v>10</v>
      </c>
      <c r="D92" s="19">
        <v>6</v>
      </c>
      <c r="E92" s="74" t="s">
        <v>97</v>
      </c>
      <c r="F92" s="19">
        <v>5.2</v>
      </c>
      <c r="G92" s="19">
        <v>0.9</v>
      </c>
      <c r="H92" s="15">
        <v>4.3</v>
      </c>
      <c r="I92" s="14">
        <v>393</v>
      </c>
      <c r="J92" s="19">
        <v>5239</v>
      </c>
      <c r="K92" s="19">
        <v>1000</v>
      </c>
      <c r="L92" s="15">
        <v>298</v>
      </c>
      <c r="M92" s="14">
        <v>282</v>
      </c>
      <c r="N92" s="19">
        <v>442</v>
      </c>
      <c r="O92" s="19">
        <v>3071</v>
      </c>
      <c r="P92" s="19">
        <v>34</v>
      </c>
      <c r="Q92" s="19">
        <v>179</v>
      </c>
      <c r="R92" s="19">
        <v>99.9</v>
      </c>
      <c r="S92" s="19">
        <v>47</v>
      </c>
      <c r="T92" s="19">
        <v>347</v>
      </c>
      <c r="U92" s="14">
        <v>511</v>
      </c>
      <c r="V92" s="19">
        <v>2168</v>
      </c>
      <c r="W92" s="19">
        <v>9</v>
      </c>
      <c r="X92" s="15">
        <v>108</v>
      </c>
      <c r="Y92" s="14">
        <v>14</v>
      </c>
      <c r="Z92" s="22">
        <v>8</v>
      </c>
      <c r="AA92" s="14">
        <v>39</v>
      </c>
      <c r="AB92" s="15">
        <v>238</v>
      </c>
      <c r="AC92" s="14">
        <v>52</v>
      </c>
      <c r="AD92" s="19">
        <v>1145</v>
      </c>
      <c r="AE92" s="14">
        <v>19</v>
      </c>
      <c r="AF92" s="19">
        <v>19</v>
      </c>
      <c r="AG92" s="19">
        <v>6</v>
      </c>
      <c r="AH92" s="15">
        <v>4</v>
      </c>
      <c r="AI92" s="14">
        <v>68</v>
      </c>
      <c r="AJ92" s="15">
        <v>2883</v>
      </c>
      <c r="AK92" s="14">
        <v>269</v>
      </c>
      <c r="AL92" s="19">
        <v>4262</v>
      </c>
      <c r="AM92" s="19">
        <v>933</v>
      </c>
      <c r="AN92" s="15">
        <v>249</v>
      </c>
      <c r="AO92" s="14">
        <v>292</v>
      </c>
      <c r="AP92" s="19">
        <v>536</v>
      </c>
      <c r="AQ92" s="19">
        <v>2824</v>
      </c>
      <c r="AR92" s="19">
        <v>22</v>
      </c>
      <c r="AS92" s="19">
        <v>158</v>
      </c>
      <c r="AT92" s="19">
        <v>36</v>
      </c>
      <c r="AU92" s="19">
        <v>243</v>
      </c>
      <c r="AV92" s="14">
        <v>361</v>
      </c>
      <c r="AW92" s="19">
        <v>1438</v>
      </c>
      <c r="AX92" s="19">
        <v>6</v>
      </c>
      <c r="AY92" s="15">
        <v>74</v>
      </c>
      <c r="AZ92" s="14">
        <v>11</v>
      </c>
      <c r="BA92" s="15">
        <v>14</v>
      </c>
    </row>
    <row r="93" spans="1:53" x14ac:dyDescent="0.25">
      <c r="A93" s="4" t="s">
        <v>15</v>
      </c>
      <c r="B93" s="40">
        <v>2007</v>
      </c>
      <c r="C93" s="14">
        <v>11</v>
      </c>
      <c r="D93" s="19">
        <v>5</v>
      </c>
      <c r="E93" s="74" t="s">
        <v>97</v>
      </c>
      <c r="F93" s="19">
        <v>8.8000000000000007</v>
      </c>
      <c r="G93" s="19">
        <v>4.3</v>
      </c>
      <c r="H93" s="15">
        <v>4.5</v>
      </c>
      <c r="I93" s="14">
        <v>412</v>
      </c>
      <c r="J93" s="19">
        <v>5044</v>
      </c>
      <c r="K93" s="19">
        <v>980</v>
      </c>
      <c r="L93" s="15">
        <v>278</v>
      </c>
      <c r="M93" s="14">
        <v>281</v>
      </c>
      <c r="N93" s="19">
        <v>471</v>
      </c>
      <c r="O93" s="19">
        <v>3005</v>
      </c>
      <c r="P93" s="19">
        <v>22</v>
      </c>
      <c r="Q93" s="19">
        <v>158</v>
      </c>
      <c r="R93" s="19">
        <v>81.3</v>
      </c>
      <c r="S93" s="19">
        <v>24</v>
      </c>
      <c r="T93" s="19">
        <v>170</v>
      </c>
      <c r="U93" s="14">
        <v>485</v>
      </c>
      <c r="V93" s="19">
        <v>2039</v>
      </c>
      <c r="W93" s="19">
        <v>19</v>
      </c>
      <c r="X93" s="15">
        <v>104</v>
      </c>
      <c r="Y93" s="14">
        <v>16</v>
      </c>
      <c r="Z93" s="22">
        <v>8</v>
      </c>
      <c r="AA93" s="14">
        <v>32</v>
      </c>
      <c r="AB93" s="15">
        <v>281</v>
      </c>
      <c r="AC93" s="14">
        <v>48</v>
      </c>
      <c r="AD93" s="19">
        <v>1224</v>
      </c>
      <c r="AE93" s="14">
        <v>17</v>
      </c>
      <c r="AF93" s="19">
        <v>16</v>
      </c>
      <c r="AG93" s="19">
        <v>10</v>
      </c>
      <c r="AH93" s="15">
        <v>8</v>
      </c>
      <c r="AI93" s="14">
        <v>82</v>
      </c>
      <c r="AJ93" s="15">
        <v>3731</v>
      </c>
      <c r="AK93" s="14">
        <v>284</v>
      </c>
      <c r="AL93" s="19">
        <v>5124</v>
      </c>
      <c r="AM93" s="19">
        <v>1013</v>
      </c>
      <c r="AN93" s="15">
        <v>297</v>
      </c>
      <c r="AO93" s="14">
        <v>338</v>
      </c>
      <c r="AP93" s="19">
        <v>555</v>
      </c>
      <c r="AQ93" s="19">
        <v>3412</v>
      </c>
      <c r="AR93" s="19">
        <v>20</v>
      </c>
      <c r="AS93" s="19">
        <v>185</v>
      </c>
      <c r="AT93" s="19">
        <v>42</v>
      </c>
      <c r="AU93" s="19">
        <v>272</v>
      </c>
      <c r="AV93" s="14">
        <v>416</v>
      </c>
      <c r="AW93" s="19">
        <v>1712</v>
      </c>
      <c r="AX93" s="19">
        <v>11</v>
      </c>
      <c r="AY93" s="15">
        <v>89</v>
      </c>
      <c r="AZ93" s="14">
        <v>30</v>
      </c>
      <c r="BA93" s="15">
        <v>18</v>
      </c>
    </row>
    <row r="94" spans="1:53" x14ac:dyDescent="0.25">
      <c r="A94" s="4" t="s">
        <v>32</v>
      </c>
      <c r="B94" s="40">
        <v>2007</v>
      </c>
      <c r="C94" s="14">
        <v>5</v>
      </c>
      <c r="D94" s="19">
        <v>11</v>
      </c>
      <c r="E94" s="74" t="s">
        <v>96</v>
      </c>
      <c r="F94" s="19">
        <v>-11.9</v>
      </c>
      <c r="G94" s="19">
        <v>-9.9</v>
      </c>
      <c r="H94" s="15">
        <v>-2</v>
      </c>
      <c r="I94" s="14">
        <v>219</v>
      </c>
      <c r="J94" s="19">
        <v>3797</v>
      </c>
      <c r="K94" s="19">
        <v>925</v>
      </c>
      <c r="L94" s="15">
        <v>218</v>
      </c>
      <c r="M94" s="14">
        <v>274</v>
      </c>
      <c r="N94" s="19">
        <v>513</v>
      </c>
      <c r="O94" s="19">
        <v>2320</v>
      </c>
      <c r="P94" s="19">
        <v>15</v>
      </c>
      <c r="Q94" s="19">
        <v>140</v>
      </c>
      <c r="R94" s="19">
        <v>64.3</v>
      </c>
      <c r="S94" s="19">
        <v>55</v>
      </c>
      <c r="T94" s="19">
        <v>365</v>
      </c>
      <c r="U94" s="14">
        <v>357</v>
      </c>
      <c r="V94" s="19">
        <v>1477</v>
      </c>
      <c r="W94" s="19">
        <v>8</v>
      </c>
      <c r="X94" s="15">
        <v>65</v>
      </c>
      <c r="Y94" s="14">
        <v>17</v>
      </c>
      <c r="Z94" s="22">
        <v>17</v>
      </c>
      <c r="AA94" s="14">
        <v>56</v>
      </c>
      <c r="AB94" s="15">
        <v>483</v>
      </c>
      <c r="AC94" s="14">
        <v>73</v>
      </c>
      <c r="AD94" s="19">
        <v>1702</v>
      </c>
      <c r="AE94" s="14">
        <v>12</v>
      </c>
      <c r="AF94" s="19">
        <v>12</v>
      </c>
      <c r="AG94" s="19">
        <v>7</v>
      </c>
      <c r="AH94" s="15">
        <v>5</v>
      </c>
      <c r="AI94" s="14">
        <v>105</v>
      </c>
      <c r="AJ94" s="15">
        <v>4966</v>
      </c>
      <c r="AK94" s="14">
        <v>364</v>
      </c>
      <c r="AL94" s="19">
        <v>5539</v>
      </c>
      <c r="AM94" s="19">
        <v>1078</v>
      </c>
      <c r="AN94" s="15">
        <v>308</v>
      </c>
      <c r="AO94" s="14">
        <v>345</v>
      </c>
      <c r="AP94" s="19">
        <v>543</v>
      </c>
      <c r="AQ94" s="19">
        <v>3643</v>
      </c>
      <c r="AR94" s="19">
        <v>24</v>
      </c>
      <c r="AS94" s="19">
        <v>187</v>
      </c>
      <c r="AT94" s="19">
        <v>31</v>
      </c>
      <c r="AU94" s="19">
        <v>183</v>
      </c>
      <c r="AV94" s="14">
        <v>504</v>
      </c>
      <c r="AW94" s="19">
        <v>1896</v>
      </c>
      <c r="AX94" s="19">
        <v>9</v>
      </c>
      <c r="AY94" s="15">
        <v>94</v>
      </c>
      <c r="AZ94" s="14">
        <v>12</v>
      </c>
      <c r="BA94" s="15">
        <v>10</v>
      </c>
    </row>
    <row r="95" spans="1:53" x14ac:dyDescent="0.25">
      <c r="A95" s="4" t="s">
        <v>33</v>
      </c>
      <c r="B95" s="40">
        <v>2007</v>
      </c>
      <c r="C95" s="14">
        <v>10</v>
      </c>
      <c r="D95" s="19">
        <v>6</v>
      </c>
      <c r="E95" s="74" t="s">
        <v>97</v>
      </c>
      <c r="F95" s="19">
        <v>1.8</v>
      </c>
      <c r="G95" s="19">
        <v>0.8</v>
      </c>
      <c r="H95" s="15">
        <v>0.9</v>
      </c>
      <c r="I95" s="14">
        <v>393</v>
      </c>
      <c r="J95" s="19">
        <v>5583</v>
      </c>
      <c r="K95" s="19">
        <v>1056</v>
      </c>
      <c r="L95" s="15">
        <v>323</v>
      </c>
      <c r="M95" s="14">
        <v>371</v>
      </c>
      <c r="N95" s="19">
        <v>590</v>
      </c>
      <c r="O95" s="19">
        <v>3964</v>
      </c>
      <c r="P95" s="19">
        <v>30</v>
      </c>
      <c r="Q95" s="19">
        <v>211</v>
      </c>
      <c r="R95" s="19">
        <v>91.8</v>
      </c>
      <c r="S95" s="19">
        <v>36</v>
      </c>
      <c r="T95" s="19">
        <v>217</v>
      </c>
      <c r="U95" s="14">
        <v>430</v>
      </c>
      <c r="V95" s="19">
        <v>1619</v>
      </c>
      <c r="W95" s="19">
        <v>9</v>
      </c>
      <c r="X95" s="15">
        <v>93</v>
      </c>
      <c r="Y95" s="14">
        <v>13</v>
      </c>
      <c r="Z95" s="22">
        <v>11</v>
      </c>
      <c r="AA95" s="14">
        <v>58</v>
      </c>
      <c r="AB95" s="15">
        <v>658</v>
      </c>
      <c r="AC95" s="14">
        <v>53</v>
      </c>
      <c r="AD95" s="19">
        <v>1173</v>
      </c>
      <c r="AE95" s="14">
        <v>17</v>
      </c>
      <c r="AF95" s="19">
        <v>17</v>
      </c>
      <c r="AG95" s="19">
        <v>17</v>
      </c>
      <c r="AH95" s="15">
        <v>11</v>
      </c>
      <c r="AI95" s="14">
        <v>86</v>
      </c>
      <c r="AJ95" s="15">
        <v>3440</v>
      </c>
      <c r="AK95" s="14">
        <v>291</v>
      </c>
      <c r="AL95" s="19">
        <v>5149</v>
      </c>
      <c r="AM95" s="19">
        <v>1035</v>
      </c>
      <c r="AN95" s="15">
        <v>278</v>
      </c>
      <c r="AO95" s="14">
        <v>333</v>
      </c>
      <c r="AP95" s="19">
        <v>568</v>
      </c>
      <c r="AQ95" s="19">
        <v>3505</v>
      </c>
      <c r="AR95" s="19">
        <v>15</v>
      </c>
      <c r="AS95" s="19">
        <v>183</v>
      </c>
      <c r="AT95" s="19">
        <v>45</v>
      </c>
      <c r="AU95" s="19">
        <v>303</v>
      </c>
      <c r="AV95" s="14">
        <v>422</v>
      </c>
      <c r="AW95" s="19">
        <v>1644</v>
      </c>
      <c r="AX95" s="19">
        <v>16</v>
      </c>
      <c r="AY95" s="15">
        <v>78</v>
      </c>
      <c r="AZ95" s="14">
        <v>20</v>
      </c>
      <c r="BA95" s="15">
        <v>14</v>
      </c>
    </row>
    <row r="96" spans="1:53" x14ac:dyDescent="0.25">
      <c r="A96" s="4" t="s">
        <v>34</v>
      </c>
      <c r="B96" s="40">
        <v>2007</v>
      </c>
      <c r="C96" s="14">
        <v>3</v>
      </c>
      <c r="D96" s="19">
        <v>13</v>
      </c>
      <c r="E96" s="74" t="s">
        <v>96</v>
      </c>
      <c r="F96" s="19">
        <v>-13</v>
      </c>
      <c r="G96" s="19">
        <v>-6.5</v>
      </c>
      <c r="H96" s="15">
        <v>-6.5</v>
      </c>
      <c r="I96" s="14">
        <v>263</v>
      </c>
      <c r="J96" s="19">
        <v>4760</v>
      </c>
      <c r="K96" s="19">
        <v>1026</v>
      </c>
      <c r="L96" s="15">
        <v>281</v>
      </c>
      <c r="M96" s="14">
        <v>333</v>
      </c>
      <c r="N96" s="19">
        <v>574</v>
      </c>
      <c r="O96" s="19">
        <v>3233</v>
      </c>
      <c r="P96" s="19">
        <v>19</v>
      </c>
      <c r="Q96" s="19">
        <v>193</v>
      </c>
      <c r="R96" s="19">
        <v>67</v>
      </c>
      <c r="S96" s="19">
        <v>48</v>
      </c>
      <c r="T96" s="19">
        <v>328</v>
      </c>
      <c r="U96" s="14">
        <v>404</v>
      </c>
      <c r="V96" s="19">
        <v>1527</v>
      </c>
      <c r="W96" s="19">
        <v>5</v>
      </c>
      <c r="X96" s="15">
        <v>65</v>
      </c>
      <c r="Y96" s="14">
        <v>28</v>
      </c>
      <c r="Z96" s="22">
        <v>9</v>
      </c>
      <c r="AA96" s="14">
        <v>30</v>
      </c>
      <c r="AB96" s="15">
        <v>357</v>
      </c>
      <c r="AC96" s="14">
        <v>82</v>
      </c>
      <c r="AD96" s="19">
        <v>1938</v>
      </c>
      <c r="AE96" s="14">
        <v>15</v>
      </c>
      <c r="AF96" s="19">
        <v>13</v>
      </c>
      <c r="AG96" s="19">
        <v>17</v>
      </c>
      <c r="AH96" s="15">
        <v>11</v>
      </c>
      <c r="AI96" s="14">
        <v>78</v>
      </c>
      <c r="AJ96" s="15">
        <v>3682</v>
      </c>
      <c r="AK96" s="14">
        <v>438</v>
      </c>
      <c r="AL96" s="19">
        <v>5457</v>
      </c>
      <c r="AM96" s="19">
        <v>999</v>
      </c>
      <c r="AN96" s="15">
        <v>316</v>
      </c>
      <c r="AO96" s="14">
        <v>318</v>
      </c>
      <c r="AP96" s="19">
        <v>523</v>
      </c>
      <c r="AQ96" s="19">
        <v>3613</v>
      </c>
      <c r="AR96" s="19">
        <v>25</v>
      </c>
      <c r="AS96" s="19">
        <v>190</v>
      </c>
      <c r="AT96" s="19">
        <v>31</v>
      </c>
      <c r="AU96" s="19">
        <v>234</v>
      </c>
      <c r="AV96" s="14">
        <v>445</v>
      </c>
      <c r="AW96" s="19">
        <v>1844</v>
      </c>
      <c r="AX96" s="19">
        <v>16</v>
      </c>
      <c r="AY96" s="15">
        <v>105</v>
      </c>
      <c r="AZ96" s="14">
        <v>18</v>
      </c>
      <c r="BA96" s="15">
        <v>9</v>
      </c>
    </row>
    <row r="97" spans="1:53" x14ac:dyDescent="0.25">
      <c r="A97" s="4" t="s">
        <v>30</v>
      </c>
      <c r="B97" s="40">
        <v>2007</v>
      </c>
      <c r="C97" s="14">
        <v>9</v>
      </c>
      <c r="D97" s="19">
        <v>7</v>
      </c>
      <c r="E97" s="74" t="s">
        <v>97</v>
      </c>
      <c r="F97" s="19">
        <v>1.2</v>
      </c>
      <c r="G97" s="19">
        <v>-2.2999999999999998</v>
      </c>
      <c r="H97" s="15">
        <v>3.6</v>
      </c>
      <c r="I97" s="14">
        <v>334</v>
      </c>
      <c r="J97" s="19">
        <v>5229</v>
      </c>
      <c r="K97" s="19">
        <v>975</v>
      </c>
      <c r="L97" s="15">
        <v>281</v>
      </c>
      <c r="M97" s="14">
        <v>316</v>
      </c>
      <c r="N97" s="19">
        <v>490</v>
      </c>
      <c r="O97" s="19">
        <v>3357</v>
      </c>
      <c r="P97" s="19">
        <v>18</v>
      </c>
      <c r="Q97" s="19">
        <v>162</v>
      </c>
      <c r="R97" s="19">
        <v>91.7</v>
      </c>
      <c r="S97" s="19">
        <v>36</v>
      </c>
      <c r="T97" s="19">
        <v>222</v>
      </c>
      <c r="U97" s="14">
        <v>449</v>
      </c>
      <c r="V97" s="19">
        <v>1872</v>
      </c>
      <c r="W97" s="19">
        <v>15</v>
      </c>
      <c r="X97" s="15">
        <v>98</v>
      </c>
      <c r="Y97" s="14">
        <v>8</v>
      </c>
      <c r="Z97" s="22">
        <v>12</v>
      </c>
      <c r="AA97" s="14">
        <v>50</v>
      </c>
      <c r="AB97" s="15">
        <v>334</v>
      </c>
      <c r="AC97" s="14">
        <v>48</v>
      </c>
      <c r="AD97" s="19">
        <v>1119</v>
      </c>
      <c r="AE97" s="14">
        <v>23</v>
      </c>
      <c r="AF97" s="19">
        <v>22</v>
      </c>
      <c r="AG97" s="19">
        <v>10</v>
      </c>
      <c r="AH97" s="15">
        <v>6</v>
      </c>
      <c r="AI97" s="14">
        <v>78</v>
      </c>
      <c r="AJ97" s="15">
        <v>3385</v>
      </c>
      <c r="AK97" s="14">
        <v>270</v>
      </c>
      <c r="AL97" s="19">
        <v>4451</v>
      </c>
      <c r="AM97" s="19">
        <v>977</v>
      </c>
      <c r="AN97" s="15">
        <v>258</v>
      </c>
      <c r="AO97" s="14">
        <v>297</v>
      </c>
      <c r="AP97" s="19">
        <v>490</v>
      </c>
      <c r="AQ97" s="19">
        <v>2725</v>
      </c>
      <c r="AR97" s="19">
        <v>18</v>
      </c>
      <c r="AS97" s="19">
        <v>158</v>
      </c>
      <c r="AT97" s="19">
        <v>33</v>
      </c>
      <c r="AU97" s="19">
        <v>210</v>
      </c>
      <c r="AV97" s="14">
        <v>454</v>
      </c>
      <c r="AW97" s="19">
        <v>1726</v>
      </c>
      <c r="AX97" s="19">
        <v>11</v>
      </c>
      <c r="AY97" s="15">
        <v>93</v>
      </c>
      <c r="AZ97" s="14">
        <v>16</v>
      </c>
      <c r="BA97" s="15">
        <v>19</v>
      </c>
    </row>
    <row r="98" spans="1:53" x14ac:dyDescent="0.25">
      <c r="A98" s="4" t="s">
        <v>13</v>
      </c>
      <c r="B98" s="40">
        <v>2007</v>
      </c>
      <c r="C98" s="14">
        <v>10</v>
      </c>
      <c r="D98" s="19">
        <v>6</v>
      </c>
      <c r="E98" s="74" t="s">
        <v>97</v>
      </c>
      <c r="F98" s="19">
        <v>0.7</v>
      </c>
      <c r="G98" s="19">
        <v>-2.9</v>
      </c>
      <c r="H98" s="15">
        <v>3.6</v>
      </c>
      <c r="I98" s="14">
        <v>301</v>
      </c>
      <c r="J98" s="19">
        <v>4987</v>
      </c>
      <c r="K98" s="19">
        <v>1037</v>
      </c>
      <c r="L98" s="15">
        <v>306</v>
      </c>
      <c r="M98" s="14">
        <v>288</v>
      </c>
      <c r="N98" s="19">
        <v>464</v>
      </c>
      <c r="O98" s="19">
        <v>2878</v>
      </c>
      <c r="P98" s="19">
        <v>9</v>
      </c>
      <c r="Q98" s="19">
        <v>171</v>
      </c>
      <c r="R98" s="19">
        <v>72.599999999999994</v>
      </c>
      <c r="S98" s="19">
        <v>30</v>
      </c>
      <c r="T98" s="19">
        <v>199</v>
      </c>
      <c r="U98" s="14">
        <v>543</v>
      </c>
      <c r="V98" s="19">
        <v>2109</v>
      </c>
      <c r="W98" s="19">
        <v>17</v>
      </c>
      <c r="X98" s="15">
        <v>118</v>
      </c>
      <c r="Y98" s="14">
        <v>17</v>
      </c>
      <c r="Z98" s="22">
        <v>17</v>
      </c>
      <c r="AA98" s="14">
        <v>42</v>
      </c>
      <c r="AB98" s="15">
        <v>367</v>
      </c>
      <c r="AC98" s="14">
        <v>52</v>
      </c>
      <c r="AD98" s="19">
        <v>1098</v>
      </c>
      <c r="AE98" s="14">
        <v>24</v>
      </c>
      <c r="AF98" s="19">
        <v>22</v>
      </c>
      <c r="AG98" s="19">
        <v>15</v>
      </c>
      <c r="AH98" s="15">
        <v>13</v>
      </c>
      <c r="AI98" s="14">
        <v>73</v>
      </c>
      <c r="AJ98" s="15">
        <v>3059</v>
      </c>
      <c r="AK98" s="14">
        <v>297</v>
      </c>
      <c r="AL98" s="19">
        <v>4665</v>
      </c>
      <c r="AM98" s="19">
        <v>978</v>
      </c>
      <c r="AN98" s="15">
        <v>268</v>
      </c>
      <c r="AO98" s="14">
        <v>349</v>
      </c>
      <c r="AP98" s="19">
        <v>569</v>
      </c>
      <c r="AQ98" s="19">
        <v>3187</v>
      </c>
      <c r="AR98" s="19">
        <v>21</v>
      </c>
      <c r="AS98" s="19">
        <v>165</v>
      </c>
      <c r="AT98" s="19">
        <v>40</v>
      </c>
      <c r="AU98" s="19">
        <v>241</v>
      </c>
      <c r="AV98" s="14">
        <v>369</v>
      </c>
      <c r="AW98" s="19">
        <v>1478</v>
      </c>
      <c r="AX98" s="19">
        <v>11</v>
      </c>
      <c r="AY98" s="15">
        <v>80</v>
      </c>
      <c r="AZ98" s="14">
        <v>22</v>
      </c>
      <c r="BA98" s="15">
        <v>12</v>
      </c>
    </row>
    <row r="99" spans="1:53" ht="15.75" thickBot="1" x14ac:dyDescent="0.3">
      <c r="A99" s="6" t="s">
        <v>22</v>
      </c>
      <c r="B99" s="41">
        <v>2007</v>
      </c>
      <c r="C99" s="16">
        <v>9</v>
      </c>
      <c r="D99" s="20">
        <v>7</v>
      </c>
      <c r="E99" s="75" t="s">
        <v>97</v>
      </c>
      <c r="F99" s="20">
        <v>4.5</v>
      </c>
      <c r="G99" s="20">
        <v>0.2</v>
      </c>
      <c r="H99" s="17">
        <v>4.3</v>
      </c>
      <c r="I99" s="16">
        <v>334</v>
      </c>
      <c r="J99" s="20">
        <v>5334</v>
      </c>
      <c r="K99" s="20">
        <v>1052</v>
      </c>
      <c r="L99" s="17">
        <v>307</v>
      </c>
      <c r="M99" s="16">
        <v>319</v>
      </c>
      <c r="N99" s="20">
        <v>525</v>
      </c>
      <c r="O99" s="20">
        <v>3463</v>
      </c>
      <c r="P99" s="20">
        <v>18</v>
      </c>
      <c r="Q99" s="20">
        <v>192</v>
      </c>
      <c r="R99" s="20">
        <v>84.2</v>
      </c>
      <c r="S99" s="20">
        <v>29</v>
      </c>
      <c r="T99" s="20">
        <v>159</v>
      </c>
      <c r="U99" s="16">
        <v>498</v>
      </c>
      <c r="V99" s="20">
        <v>1871</v>
      </c>
      <c r="W99" s="20">
        <v>15</v>
      </c>
      <c r="X99" s="17">
        <v>103</v>
      </c>
      <c r="Y99" s="16">
        <v>11</v>
      </c>
      <c r="Z99" s="23">
        <v>18</v>
      </c>
      <c r="AA99" s="16">
        <v>40</v>
      </c>
      <c r="AB99" s="17">
        <v>299</v>
      </c>
      <c r="AC99" s="16">
        <v>65</v>
      </c>
      <c r="AD99" s="20">
        <v>1544</v>
      </c>
      <c r="AE99" s="16">
        <v>20</v>
      </c>
      <c r="AF99" s="20">
        <v>18</v>
      </c>
      <c r="AG99" s="20">
        <v>15</v>
      </c>
      <c r="AH99" s="17">
        <v>11</v>
      </c>
      <c r="AI99" s="16">
        <v>75</v>
      </c>
      <c r="AJ99" s="17">
        <v>3075</v>
      </c>
      <c r="AK99" s="16">
        <v>310</v>
      </c>
      <c r="AL99" s="20">
        <v>4884</v>
      </c>
      <c r="AM99" s="20">
        <v>1026</v>
      </c>
      <c r="AN99" s="17">
        <v>291</v>
      </c>
      <c r="AO99" s="16">
        <v>351</v>
      </c>
      <c r="AP99" s="20">
        <v>602</v>
      </c>
      <c r="AQ99" s="20">
        <v>3424</v>
      </c>
      <c r="AR99" s="20">
        <v>20</v>
      </c>
      <c r="AS99" s="20">
        <v>174</v>
      </c>
      <c r="AT99" s="20">
        <v>33</v>
      </c>
      <c r="AU99" s="20">
        <v>198</v>
      </c>
      <c r="AV99" s="16">
        <v>391</v>
      </c>
      <c r="AW99" s="20">
        <v>1460</v>
      </c>
      <c r="AX99" s="20">
        <v>10</v>
      </c>
      <c r="AY99" s="17">
        <v>89</v>
      </c>
      <c r="AZ99" s="16">
        <v>14</v>
      </c>
      <c r="BA99" s="17">
        <v>10</v>
      </c>
    </row>
    <row r="100" spans="1:53" x14ac:dyDescent="0.25">
      <c r="A100" s="11" t="s">
        <v>31</v>
      </c>
      <c r="B100" s="39">
        <v>2006</v>
      </c>
      <c r="C100" s="24">
        <v>5</v>
      </c>
      <c r="D100" s="27">
        <v>11</v>
      </c>
      <c r="E100" s="76" t="s">
        <v>96</v>
      </c>
      <c r="F100" s="27">
        <v>-6.9</v>
      </c>
      <c r="G100" s="27">
        <v>-2.6</v>
      </c>
      <c r="H100" s="21">
        <v>-4.3</v>
      </c>
      <c r="I100" s="24">
        <v>314</v>
      </c>
      <c r="J100" s="27">
        <v>5000</v>
      </c>
      <c r="K100" s="27">
        <v>999</v>
      </c>
      <c r="L100" s="21">
        <v>298</v>
      </c>
      <c r="M100" s="27">
        <v>322</v>
      </c>
      <c r="N100" s="27">
        <v>545</v>
      </c>
      <c r="O100" s="27">
        <v>3662</v>
      </c>
      <c r="P100" s="27">
        <v>17</v>
      </c>
      <c r="Q100" s="27">
        <v>187</v>
      </c>
      <c r="R100" s="27">
        <v>78.7</v>
      </c>
      <c r="S100" s="27">
        <v>35</v>
      </c>
      <c r="T100" s="21">
        <v>262</v>
      </c>
      <c r="U100" s="24">
        <v>419</v>
      </c>
      <c r="V100" s="27">
        <v>1338</v>
      </c>
      <c r="W100" s="27">
        <v>12</v>
      </c>
      <c r="X100" s="21">
        <v>84</v>
      </c>
      <c r="Y100" s="27">
        <v>17</v>
      </c>
      <c r="Z100" s="21">
        <v>13</v>
      </c>
      <c r="AA100" s="24">
        <v>25</v>
      </c>
      <c r="AB100" s="21">
        <v>250</v>
      </c>
      <c r="AC100" s="24">
        <v>73</v>
      </c>
      <c r="AD100" s="21">
        <v>1610</v>
      </c>
      <c r="AE100" s="27">
        <v>20</v>
      </c>
      <c r="AF100" s="27">
        <v>20</v>
      </c>
      <c r="AG100" s="27">
        <v>17</v>
      </c>
      <c r="AH100" s="21">
        <v>8</v>
      </c>
      <c r="AI100" s="24">
        <v>68</v>
      </c>
      <c r="AJ100" s="21">
        <v>2965</v>
      </c>
      <c r="AK100" s="24">
        <v>389</v>
      </c>
      <c r="AL100" s="27">
        <v>5591</v>
      </c>
      <c r="AM100" s="27">
        <v>1018</v>
      </c>
      <c r="AN100" s="21">
        <v>331</v>
      </c>
      <c r="AO100" s="27">
        <v>321</v>
      </c>
      <c r="AP100" s="27">
        <v>522</v>
      </c>
      <c r="AQ100" s="27">
        <v>3694</v>
      </c>
      <c r="AR100" s="27">
        <v>21</v>
      </c>
      <c r="AS100" s="27">
        <v>186</v>
      </c>
      <c r="AT100" s="27">
        <v>38</v>
      </c>
      <c r="AU100" s="21">
        <v>238</v>
      </c>
      <c r="AV100" s="24">
        <v>458</v>
      </c>
      <c r="AW100" s="27">
        <v>1897</v>
      </c>
      <c r="AX100" s="27">
        <v>16</v>
      </c>
      <c r="AY100" s="21">
        <v>114</v>
      </c>
      <c r="AZ100" s="24">
        <v>16</v>
      </c>
      <c r="BA100" s="21">
        <v>17</v>
      </c>
    </row>
    <row r="101" spans="1:53" x14ac:dyDescent="0.25">
      <c r="A101" s="4" t="s">
        <v>28</v>
      </c>
      <c r="B101" s="40">
        <v>2006</v>
      </c>
      <c r="C101" s="25">
        <v>7</v>
      </c>
      <c r="D101" s="28">
        <v>9</v>
      </c>
      <c r="E101" s="77" t="s">
        <v>96</v>
      </c>
      <c r="F101" s="28">
        <v>-3</v>
      </c>
      <c r="G101" s="28">
        <v>-2.8</v>
      </c>
      <c r="H101" s="22">
        <v>-0.2</v>
      </c>
      <c r="I101" s="25">
        <v>292</v>
      </c>
      <c r="J101" s="28">
        <v>5310</v>
      </c>
      <c r="K101" s="28">
        <v>1000</v>
      </c>
      <c r="L101" s="22">
        <v>287</v>
      </c>
      <c r="M101" s="28">
        <v>222</v>
      </c>
      <c r="N101" s="28">
        <v>416</v>
      </c>
      <c r="O101" s="28">
        <v>2371</v>
      </c>
      <c r="P101" s="28">
        <v>21</v>
      </c>
      <c r="Q101" s="28">
        <v>133</v>
      </c>
      <c r="R101" s="28">
        <v>75.2</v>
      </c>
      <c r="S101" s="28">
        <v>47</v>
      </c>
      <c r="T101" s="22">
        <v>311</v>
      </c>
      <c r="U101" s="25">
        <v>537</v>
      </c>
      <c r="V101" s="28">
        <v>2939</v>
      </c>
      <c r="W101" s="28">
        <v>9</v>
      </c>
      <c r="X101" s="22">
        <v>134</v>
      </c>
      <c r="Y101" s="28">
        <v>15</v>
      </c>
      <c r="Z101" s="22">
        <v>5</v>
      </c>
      <c r="AA101" s="25">
        <v>37</v>
      </c>
      <c r="AB101" s="22">
        <v>288</v>
      </c>
      <c r="AC101" s="25">
        <v>68</v>
      </c>
      <c r="AD101" s="22">
        <v>1542</v>
      </c>
      <c r="AE101" s="28">
        <v>19</v>
      </c>
      <c r="AF101" s="28">
        <v>15</v>
      </c>
      <c r="AG101" s="28">
        <v>13</v>
      </c>
      <c r="AH101" s="22">
        <v>8</v>
      </c>
      <c r="AI101" s="25">
        <v>78</v>
      </c>
      <c r="AJ101" s="22">
        <v>3198</v>
      </c>
      <c r="AK101" s="25">
        <v>328</v>
      </c>
      <c r="AL101" s="28">
        <v>5325</v>
      </c>
      <c r="AM101" s="28">
        <v>994</v>
      </c>
      <c r="AN101" s="22">
        <v>313</v>
      </c>
      <c r="AO101" s="28">
        <v>321</v>
      </c>
      <c r="AP101" s="28">
        <v>515</v>
      </c>
      <c r="AQ101" s="28">
        <v>3668</v>
      </c>
      <c r="AR101" s="28">
        <v>20</v>
      </c>
      <c r="AS101" s="28">
        <v>183</v>
      </c>
      <c r="AT101" s="28">
        <v>37</v>
      </c>
      <c r="AU101" s="22">
        <v>235</v>
      </c>
      <c r="AV101" s="25">
        <v>442</v>
      </c>
      <c r="AW101" s="28">
        <v>1657</v>
      </c>
      <c r="AX101" s="28">
        <v>14</v>
      </c>
      <c r="AY101" s="22">
        <v>97</v>
      </c>
      <c r="AZ101" s="25">
        <v>12</v>
      </c>
      <c r="BA101" s="22">
        <v>14</v>
      </c>
    </row>
    <row r="102" spans="1:53" x14ac:dyDescent="0.25">
      <c r="A102" s="4" t="s">
        <v>8</v>
      </c>
      <c r="B102" s="40">
        <v>2006</v>
      </c>
      <c r="C102" s="25">
        <v>13</v>
      </c>
      <c r="D102" s="28">
        <v>3</v>
      </c>
      <c r="E102" s="77" t="s">
        <v>97</v>
      </c>
      <c r="F102" s="28">
        <v>9.3000000000000007</v>
      </c>
      <c r="G102" s="28">
        <v>1.5</v>
      </c>
      <c r="H102" s="22">
        <v>7.8</v>
      </c>
      <c r="I102" s="25">
        <v>353</v>
      </c>
      <c r="J102" s="28">
        <v>5072</v>
      </c>
      <c r="K102" s="28">
        <v>1017</v>
      </c>
      <c r="L102" s="22">
        <v>282</v>
      </c>
      <c r="M102" s="28">
        <v>328</v>
      </c>
      <c r="N102" s="28">
        <v>524</v>
      </c>
      <c r="O102" s="28">
        <v>3435</v>
      </c>
      <c r="P102" s="28">
        <v>21</v>
      </c>
      <c r="Q102" s="28">
        <v>179</v>
      </c>
      <c r="R102" s="28">
        <v>84.6</v>
      </c>
      <c r="S102" s="28">
        <v>17</v>
      </c>
      <c r="T102" s="22">
        <v>100</v>
      </c>
      <c r="U102" s="25">
        <v>476</v>
      </c>
      <c r="V102" s="28">
        <v>1637</v>
      </c>
      <c r="W102" s="28">
        <v>11</v>
      </c>
      <c r="X102" s="22">
        <v>86</v>
      </c>
      <c r="Y102" s="28">
        <v>14</v>
      </c>
      <c r="Z102" s="22">
        <v>9</v>
      </c>
      <c r="AA102" s="25">
        <v>45</v>
      </c>
      <c r="AB102" s="22">
        <v>351</v>
      </c>
      <c r="AC102" s="25">
        <v>45</v>
      </c>
      <c r="AD102" s="22">
        <v>1046</v>
      </c>
      <c r="AE102" s="28">
        <v>22</v>
      </c>
      <c r="AF102" s="28">
        <v>21</v>
      </c>
      <c r="AG102" s="28">
        <v>8</v>
      </c>
      <c r="AH102" s="22">
        <v>7</v>
      </c>
      <c r="AI102" s="25">
        <v>86</v>
      </c>
      <c r="AJ102" s="22">
        <v>3698</v>
      </c>
      <c r="AK102" s="25">
        <v>201</v>
      </c>
      <c r="AL102" s="28">
        <v>4225</v>
      </c>
      <c r="AM102" s="28">
        <v>936</v>
      </c>
      <c r="AN102" s="22">
        <v>236</v>
      </c>
      <c r="AO102" s="28">
        <v>279</v>
      </c>
      <c r="AP102" s="28">
        <v>509</v>
      </c>
      <c r="AQ102" s="28">
        <v>3011</v>
      </c>
      <c r="AR102" s="28">
        <v>16</v>
      </c>
      <c r="AS102" s="28">
        <v>151</v>
      </c>
      <c r="AT102" s="28">
        <v>60</v>
      </c>
      <c r="AU102" s="22">
        <v>418</v>
      </c>
      <c r="AV102" s="25">
        <v>367</v>
      </c>
      <c r="AW102" s="28">
        <v>1214</v>
      </c>
      <c r="AX102" s="28">
        <v>5</v>
      </c>
      <c r="AY102" s="22">
        <v>59</v>
      </c>
      <c r="AZ102" s="25">
        <v>28</v>
      </c>
      <c r="BA102" s="22">
        <v>12</v>
      </c>
    </row>
    <row r="103" spans="1:53" x14ac:dyDescent="0.25">
      <c r="A103" s="4" t="s">
        <v>6</v>
      </c>
      <c r="B103" s="40">
        <v>2006</v>
      </c>
      <c r="C103" s="25">
        <v>7</v>
      </c>
      <c r="D103" s="28">
        <v>9</v>
      </c>
      <c r="E103" s="77" t="s">
        <v>96</v>
      </c>
      <c r="F103" s="28">
        <v>2.2000000000000002</v>
      </c>
      <c r="G103" s="28">
        <v>-0.2</v>
      </c>
      <c r="H103" s="22">
        <v>2.4</v>
      </c>
      <c r="I103" s="25">
        <v>300</v>
      </c>
      <c r="J103" s="28">
        <v>4271</v>
      </c>
      <c r="K103" s="28">
        <v>898</v>
      </c>
      <c r="L103" s="22">
        <v>234</v>
      </c>
      <c r="M103" s="28">
        <v>268</v>
      </c>
      <c r="N103" s="28">
        <v>431</v>
      </c>
      <c r="O103" s="28">
        <v>2719</v>
      </c>
      <c r="P103" s="28">
        <v>19</v>
      </c>
      <c r="Q103" s="28">
        <v>132</v>
      </c>
      <c r="R103" s="28">
        <v>84.6</v>
      </c>
      <c r="S103" s="28">
        <v>47</v>
      </c>
      <c r="T103" s="22">
        <v>332</v>
      </c>
      <c r="U103" s="25">
        <v>420</v>
      </c>
      <c r="V103" s="28">
        <v>1552</v>
      </c>
      <c r="W103" s="28">
        <v>9</v>
      </c>
      <c r="X103" s="22">
        <v>82</v>
      </c>
      <c r="Y103" s="28">
        <v>14</v>
      </c>
      <c r="Z103" s="22">
        <v>15</v>
      </c>
      <c r="AA103" s="25">
        <v>39</v>
      </c>
      <c r="AB103" s="22">
        <v>422</v>
      </c>
      <c r="AC103" s="25">
        <v>63</v>
      </c>
      <c r="AD103" s="22">
        <v>1503</v>
      </c>
      <c r="AE103" s="28">
        <v>13</v>
      </c>
      <c r="AF103" s="28">
        <v>13</v>
      </c>
      <c r="AG103" s="28">
        <v>12</v>
      </c>
      <c r="AH103" s="22">
        <v>10</v>
      </c>
      <c r="AI103" s="25">
        <v>92</v>
      </c>
      <c r="AJ103" s="22">
        <v>4011</v>
      </c>
      <c r="AK103" s="25">
        <v>311</v>
      </c>
      <c r="AL103" s="28">
        <v>5273</v>
      </c>
      <c r="AM103" s="28">
        <v>1029</v>
      </c>
      <c r="AN103" s="22">
        <v>298</v>
      </c>
      <c r="AO103" s="28">
        <v>324</v>
      </c>
      <c r="AP103" s="28">
        <v>513</v>
      </c>
      <c r="AQ103" s="28">
        <v>3019</v>
      </c>
      <c r="AR103" s="28">
        <v>18</v>
      </c>
      <c r="AS103" s="28">
        <v>168</v>
      </c>
      <c r="AT103" s="28">
        <v>40</v>
      </c>
      <c r="AU103" s="22">
        <v>265</v>
      </c>
      <c r="AV103" s="25">
        <v>476</v>
      </c>
      <c r="AW103" s="28">
        <v>2254</v>
      </c>
      <c r="AX103" s="28">
        <v>14</v>
      </c>
      <c r="AY103" s="22">
        <v>117</v>
      </c>
      <c r="AZ103" s="25">
        <v>13</v>
      </c>
      <c r="BA103" s="22">
        <v>11</v>
      </c>
    </row>
    <row r="104" spans="1:53" x14ac:dyDescent="0.25">
      <c r="A104" s="4" t="s">
        <v>29</v>
      </c>
      <c r="B104" s="40">
        <v>2006</v>
      </c>
      <c r="C104" s="25">
        <v>8</v>
      </c>
      <c r="D104" s="28">
        <v>8</v>
      </c>
      <c r="E104" s="77" t="s">
        <v>96</v>
      </c>
      <c r="F104" s="28">
        <v>-2.7</v>
      </c>
      <c r="G104" s="28">
        <v>-4.2</v>
      </c>
      <c r="H104" s="22">
        <v>1.5</v>
      </c>
      <c r="I104" s="25">
        <v>270</v>
      </c>
      <c r="J104" s="28">
        <v>4923</v>
      </c>
      <c r="K104" s="28">
        <v>994</v>
      </c>
      <c r="L104" s="22">
        <v>278</v>
      </c>
      <c r="M104" s="28">
        <v>325</v>
      </c>
      <c r="N104" s="28">
        <v>539</v>
      </c>
      <c r="O104" s="28">
        <v>3264</v>
      </c>
      <c r="P104" s="28">
        <v>19</v>
      </c>
      <c r="Q104" s="28">
        <v>158</v>
      </c>
      <c r="R104" s="28">
        <v>77.900000000000006</v>
      </c>
      <c r="S104" s="28">
        <v>32</v>
      </c>
      <c r="T104" s="22">
        <v>222</v>
      </c>
      <c r="U104" s="25">
        <v>423</v>
      </c>
      <c r="V104" s="28">
        <v>1659</v>
      </c>
      <c r="W104" s="28">
        <v>7</v>
      </c>
      <c r="X104" s="22">
        <v>100</v>
      </c>
      <c r="Y104" s="28">
        <v>17</v>
      </c>
      <c r="Z104" s="22">
        <v>10</v>
      </c>
      <c r="AA104" s="25">
        <v>49</v>
      </c>
      <c r="AB104" s="22">
        <v>225</v>
      </c>
      <c r="AC104" s="25">
        <v>62</v>
      </c>
      <c r="AD104" s="22">
        <v>1200</v>
      </c>
      <c r="AE104" s="28">
        <v>12</v>
      </c>
      <c r="AF104" s="28">
        <v>12</v>
      </c>
      <c r="AG104" s="28">
        <v>15</v>
      </c>
      <c r="AH104" s="22">
        <v>12</v>
      </c>
      <c r="AI104" s="25">
        <v>100</v>
      </c>
      <c r="AJ104" s="22">
        <v>4510</v>
      </c>
      <c r="AK104" s="25">
        <v>305</v>
      </c>
      <c r="AL104" s="28">
        <v>4737</v>
      </c>
      <c r="AM104" s="28">
        <v>990</v>
      </c>
      <c r="AN104" s="22">
        <v>267</v>
      </c>
      <c r="AO104" s="28">
        <v>291</v>
      </c>
      <c r="AP104" s="28">
        <v>500</v>
      </c>
      <c r="AQ104" s="28">
        <v>3000</v>
      </c>
      <c r="AR104" s="28">
        <v>22</v>
      </c>
      <c r="AS104" s="28">
        <v>149</v>
      </c>
      <c r="AT104" s="28">
        <v>41</v>
      </c>
      <c r="AU104" s="22">
        <v>265</v>
      </c>
      <c r="AV104" s="25">
        <v>449</v>
      </c>
      <c r="AW104" s="28">
        <v>1737</v>
      </c>
      <c r="AX104" s="28">
        <v>10</v>
      </c>
      <c r="AY104" s="22">
        <v>96</v>
      </c>
      <c r="AZ104" s="25">
        <v>14</v>
      </c>
      <c r="BA104" s="22">
        <v>8</v>
      </c>
    </row>
    <row r="105" spans="1:53" x14ac:dyDescent="0.25">
      <c r="A105" s="4" t="s">
        <v>25</v>
      </c>
      <c r="B105" s="40">
        <v>2006</v>
      </c>
      <c r="C105" s="25">
        <v>13</v>
      </c>
      <c r="D105" s="28">
        <v>3</v>
      </c>
      <c r="E105" s="77" t="s">
        <v>97</v>
      </c>
      <c r="F105" s="28">
        <v>7.9</v>
      </c>
      <c r="G105" s="28">
        <v>4.9000000000000004</v>
      </c>
      <c r="H105" s="22">
        <v>3</v>
      </c>
      <c r="I105" s="25">
        <v>427</v>
      </c>
      <c r="J105" s="28">
        <v>5199</v>
      </c>
      <c r="K105" s="28">
        <v>1042</v>
      </c>
      <c r="L105" s="22">
        <v>300</v>
      </c>
      <c r="M105" s="28">
        <v>282</v>
      </c>
      <c r="N105" s="28">
        <v>514</v>
      </c>
      <c r="O105" s="28">
        <v>3281</v>
      </c>
      <c r="P105" s="28">
        <v>24</v>
      </c>
      <c r="Q105" s="28">
        <v>161</v>
      </c>
      <c r="R105" s="28">
        <v>73.5</v>
      </c>
      <c r="S105" s="28">
        <v>25</v>
      </c>
      <c r="T105" s="22">
        <v>165</v>
      </c>
      <c r="U105" s="25">
        <v>503</v>
      </c>
      <c r="V105" s="28">
        <v>1918</v>
      </c>
      <c r="W105" s="28">
        <v>14</v>
      </c>
      <c r="X105" s="22">
        <v>103</v>
      </c>
      <c r="Y105" s="28">
        <v>22</v>
      </c>
      <c r="Z105" s="22">
        <v>14</v>
      </c>
      <c r="AA105" s="25">
        <v>50</v>
      </c>
      <c r="AB105" s="22">
        <v>607</v>
      </c>
      <c r="AC105" s="25">
        <v>59</v>
      </c>
      <c r="AD105" s="22">
        <v>1373</v>
      </c>
      <c r="AE105" s="28">
        <v>22</v>
      </c>
      <c r="AF105" s="28">
        <v>20</v>
      </c>
      <c r="AG105" s="28">
        <v>14</v>
      </c>
      <c r="AH105" s="22">
        <v>12</v>
      </c>
      <c r="AI105" s="25">
        <v>77</v>
      </c>
      <c r="AJ105" s="22">
        <v>3403</v>
      </c>
      <c r="AK105" s="25">
        <v>255</v>
      </c>
      <c r="AL105" s="28">
        <v>4706</v>
      </c>
      <c r="AM105" s="28">
        <v>1023</v>
      </c>
      <c r="AN105" s="22">
        <v>258</v>
      </c>
      <c r="AO105" s="28">
        <v>328</v>
      </c>
      <c r="AP105" s="28">
        <v>581</v>
      </c>
      <c r="AQ105" s="28">
        <v>3116</v>
      </c>
      <c r="AR105" s="28">
        <v>18</v>
      </c>
      <c r="AS105" s="28">
        <v>159</v>
      </c>
      <c r="AT105" s="28">
        <v>40</v>
      </c>
      <c r="AU105" s="22">
        <v>272</v>
      </c>
      <c r="AV105" s="25">
        <v>402</v>
      </c>
      <c r="AW105" s="28">
        <v>1590</v>
      </c>
      <c r="AX105" s="28">
        <v>7</v>
      </c>
      <c r="AY105" s="22">
        <v>77</v>
      </c>
      <c r="AZ105" s="25">
        <v>24</v>
      </c>
      <c r="BA105" s="22">
        <v>20</v>
      </c>
    </row>
    <row r="106" spans="1:53" x14ac:dyDescent="0.25">
      <c r="A106" s="4" t="s">
        <v>7</v>
      </c>
      <c r="B106" s="40">
        <v>2006</v>
      </c>
      <c r="C106" s="25">
        <v>8</v>
      </c>
      <c r="D106" s="28">
        <v>8</v>
      </c>
      <c r="E106" s="77" t="s">
        <v>96</v>
      </c>
      <c r="F106" s="28">
        <v>4.0999999999999996</v>
      </c>
      <c r="G106" s="28">
        <v>4</v>
      </c>
      <c r="H106" s="22">
        <v>0</v>
      </c>
      <c r="I106" s="25">
        <v>373</v>
      </c>
      <c r="J106" s="28">
        <v>5462</v>
      </c>
      <c r="K106" s="28">
        <v>994</v>
      </c>
      <c r="L106" s="22">
        <v>313</v>
      </c>
      <c r="M106" s="28">
        <v>327</v>
      </c>
      <c r="N106" s="28">
        <v>523</v>
      </c>
      <c r="O106" s="28">
        <v>3833</v>
      </c>
      <c r="P106" s="28">
        <v>28</v>
      </c>
      <c r="Q106" s="28">
        <v>200</v>
      </c>
      <c r="R106" s="28">
        <v>94.1</v>
      </c>
      <c r="S106" s="28">
        <v>36</v>
      </c>
      <c r="T106" s="22">
        <v>233</v>
      </c>
      <c r="U106" s="25">
        <v>435</v>
      </c>
      <c r="V106" s="28">
        <v>1629</v>
      </c>
      <c r="W106" s="28">
        <v>14</v>
      </c>
      <c r="X106" s="22">
        <v>88</v>
      </c>
      <c r="Y106" s="28">
        <v>13</v>
      </c>
      <c r="Z106" s="22">
        <v>11</v>
      </c>
      <c r="AA106" s="25">
        <v>36</v>
      </c>
      <c r="AB106" s="22">
        <v>239</v>
      </c>
      <c r="AC106" s="25">
        <v>59</v>
      </c>
      <c r="AD106" s="22">
        <v>1209</v>
      </c>
      <c r="AE106" s="28">
        <v>18</v>
      </c>
      <c r="AF106" s="28">
        <v>17</v>
      </c>
      <c r="AG106" s="28">
        <v>12</v>
      </c>
      <c r="AH106" s="22">
        <v>8</v>
      </c>
      <c r="AI106" s="25">
        <v>77</v>
      </c>
      <c r="AJ106" s="22">
        <v>3426</v>
      </c>
      <c r="AK106" s="25">
        <v>331</v>
      </c>
      <c r="AL106" s="28">
        <v>5681</v>
      </c>
      <c r="AM106" s="28">
        <v>1038</v>
      </c>
      <c r="AN106" s="22">
        <v>337</v>
      </c>
      <c r="AO106" s="28">
        <v>349</v>
      </c>
      <c r="AP106" s="28">
        <v>555</v>
      </c>
      <c r="AQ106" s="28">
        <v>3818</v>
      </c>
      <c r="AR106" s="28">
        <v>24</v>
      </c>
      <c r="AS106" s="28">
        <v>206</v>
      </c>
      <c r="AT106" s="28">
        <v>35</v>
      </c>
      <c r="AU106" s="22">
        <v>211</v>
      </c>
      <c r="AV106" s="25">
        <v>448</v>
      </c>
      <c r="AW106" s="28">
        <v>1863</v>
      </c>
      <c r="AX106" s="28">
        <v>15</v>
      </c>
      <c r="AY106" s="22">
        <v>109</v>
      </c>
      <c r="AZ106" s="25">
        <v>19</v>
      </c>
      <c r="BA106" s="22">
        <v>12</v>
      </c>
    </row>
    <row r="107" spans="1:53" x14ac:dyDescent="0.25">
      <c r="A107" s="4" t="s">
        <v>10</v>
      </c>
      <c r="B107" s="40">
        <v>2006</v>
      </c>
      <c r="C107" s="25">
        <v>4</v>
      </c>
      <c r="D107" s="28">
        <v>12</v>
      </c>
      <c r="E107" s="77" t="s">
        <v>96</v>
      </c>
      <c r="F107" s="28">
        <v>-5.8</v>
      </c>
      <c r="G107" s="28">
        <v>-4.5</v>
      </c>
      <c r="H107" s="22">
        <v>-1.3</v>
      </c>
      <c r="I107" s="25">
        <v>238</v>
      </c>
      <c r="J107" s="28">
        <v>4233</v>
      </c>
      <c r="K107" s="28">
        <v>938</v>
      </c>
      <c r="L107" s="22">
        <v>250</v>
      </c>
      <c r="M107" s="28">
        <v>318</v>
      </c>
      <c r="N107" s="28">
        <v>512</v>
      </c>
      <c r="O107" s="28">
        <v>2898</v>
      </c>
      <c r="P107" s="28">
        <v>15</v>
      </c>
      <c r="Q107" s="28">
        <v>153</v>
      </c>
      <c r="R107" s="28">
        <v>69.7</v>
      </c>
      <c r="S107" s="28">
        <v>54</v>
      </c>
      <c r="T107" s="22">
        <v>349</v>
      </c>
      <c r="U107" s="25">
        <v>372</v>
      </c>
      <c r="V107" s="28">
        <v>1335</v>
      </c>
      <c r="W107" s="28">
        <v>7</v>
      </c>
      <c r="X107" s="22">
        <v>72</v>
      </c>
      <c r="Y107" s="28">
        <v>25</v>
      </c>
      <c r="Z107" s="22">
        <v>17</v>
      </c>
      <c r="AA107" s="25">
        <v>36</v>
      </c>
      <c r="AB107" s="22">
        <v>371</v>
      </c>
      <c r="AC107" s="25">
        <v>71</v>
      </c>
      <c r="AD107" s="22">
        <v>1635</v>
      </c>
      <c r="AE107" s="28">
        <v>16</v>
      </c>
      <c r="AF107" s="28">
        <v>14</v>
      </c>
      <c r="AG107" s="28">
        <v>13</v>
      </c>
      <c r="AH107" s="22">
        <v>7</v>
      </c>
      <c r="AI107" s="25">
        <v>83</v>
      </c>
      <c r="AJ107" s="22">
        <v>3619</v>
      </c>
      <c r="AK107" s="25">
        <v>356</v>
      </c>
      <c r="AL107" s="28">
        <v>5515</v>
      </c>
      <c r="AM107" s="28">
        <v>1041</v>
      </c>
      <c r="AN107" s="22">
        <v>303</v>
      </c>
      <c r="AO107" s="28">
        <v>283</v>
      </c>
      <c r="AP107" s="28">
        <v>499</v>
      </c>
      <c r="AQ107" s="28">
        <v>3242</v>
      </c>
      <c r="AR107" s="28">
        <v>20</v>
      </c>
      <c r="AS107" s="28">
        <v>178</v>
      </c>
      <c r="AT107" s="28">
        <v>28</v>
      </c>
      <c r="AU107" s="22">
        <v>137</v>
      </c>
      <c r="AV107" s="25">
        <v>514</v>
      </c>
      <c r="AW107" s="28">
        <v>2273</v>
      </c>
      <c r="AX107" s="28">
        <v>14</v>
      </c>
      <c r="AY107" s="22">
        <v>107</v>
      </c>
      <c r="AZ107" s="25">
        <v>18</v>
      </c>
      <c r="BA107" s="22">
        <v>9</v>
      </c>
    </row>
    <row r="108" spans="1:53" x14ac:dyDescent="0.25">
      <c r="A108" s="4" t="s">
        <v>19</v>
      </c>
      <c r="B108" s="40">
        <v>2006</v>
      </c>
      <c r="C108" s="25">
        <v>9</v>
      </c>
      <c r="D108" s="28">
        <v>7</v>
      </c>
      <c r="E108" s="77" t="s">
        <v>97</v>
      </c>
      <c r="F108" s="28">
        <v>3.7</v>
      </c>
      <c r="G108" s="28">
        <v>5</v>
      </c>
      <c r="H108" s="22">
        <v>-1.3</v>
      </c>
      <c r="I108" s="25">
        <v>425</v>
      </c>
      <c r="J108" s="28">
        <v>5772</v>
      </c>
      <c r="K108" s="28">
        <v>1015</v>
      </c>
      <c r="L108" s="22">
        <v>336</v>
      </c>
      <c r="M108" s="28">
        <v>310</v>
      </c>
      <c r="N108" s="28">
        <v>506</v>
      </c>
      <c r="O108" s="28">
        <v>3836</v>
      </c>
      <c r="P108" s="28">
        <v>26</v>
      </c>
      <c r="Q108" s="28">
        <v>197</v>
      </c>
      <c r="R108" s="28">
        <v>86.5</v>
      </c>
      <c r="S108" s="28">
        <v>37</v>
      </c>
      <c r="T108" s="22">
        <v>231</v>
      </c>
      <c r="U108" s="25">
        <v>472</v>
      </c>
      <c r="V108" s="28">
        <v>1936</v>
      </c>
      <c r="W108" s="28">
        <v>21</v>
      </c>
      <c r="X108" s="22">
        <v>107</v>
      </c>
      <c r="Y108" s="28">
        <v>21</v>
      </c>
      <c r="Z108" s="22">
        <v>9</v>
      </c>
      <c r="AA108" s="25">
        <v>40</v>
      </c>
      <c r="AB108" s="22">
        <v>335</v>
      </c>
      <c r="AC108" s="25">
        <v>64</v>
      </c>
      <c r="AD108" s="22">
        <v>1493</v>
      </c>
      <c r="AE108" s="28">
        <v>18</v>
      </c>
      <c r="AF108" s="28">
        <v>15</v>
      </c>
      <c r="AG108" s="28">
        <v>10</v>
      </c>
      <c r="AH108" s="22">
        <v>5</v>
      </c>
      <c r="AI108" s="25">
        <v>56</v>
      </c>
      <c r="AJ108" s="22">
        <v>2699</v>
      </c>
      <c r="AK108" s="25">
        <v>350</v>
      </c>
      <c r="AL108" s="28">
        <v>5165</v>
      </c>
      <c r="AM108" s="28">
        <v>974</v>
      </c>
      <c r="AN108" s="22">
        <v>294</v>
      </c>
      <c r="AO108" s="28">
        <v>301</v>
      </c>
      <c r="AP108" s="28">
        <v>511</v>
      </c>
      <c r="AQ108" s="28">
        <v>3506</v>
      </c>
      <c r="AR108" s="28">
        <v>25</v>
      </c>
      <c r="AS108" s="28">
        <v>179</v>
      </c>
      <c r="AT108" s="28">
        <v>34</v>
      </c>
      <c r="AU108" s="22">
        <v>223</v>
      </c>
      <c r="AV108" s="25">
        <v>429</v>
      </c>
      <c r="AW108" s="28">
        <v>1659</v>
      </c>
      <c r="AX108" s="28">
        <v>12</v>
      </c>
      <c r="AY108" s="22">
        <v>88</v>
      </c>
      <c r="AZ108" s="25">
        <v>18</v>
      </c>
      <c r="BA108" s="22">
        <v>13</v>
      </c>
    </row>
    <row r="109" spans="1:53" x14ac:dyDescent="0.25">
      <c r="A109" s="4" t="s">
        <v>16</v>
      </c>
      <c r="B109" s="40">
        <v>2006</v>
      </c>
      <c r="C109" s="25">
        <v>9</v>
      </c>
      <c r="D109" s="28">
        <v>7</v>
      </c>
      <c r="E109" s="77" t="s">
        <v>96</v>
      </c>
      <c r="F109" s="28">
        <v>1.3</v>
      </c>
      <c r="G109" s="28">
        <v>-0.8</v>
      </c>
      <c r="H109" s="22">
        <v>2.1</v>
      </c>
      <c r="I109" s="25">
        <v>319</v>
      </c>
      <c r="J109" s="28">
        <v>4951</v>
      </c>
      <c r="K109" s="28">
        <v>973</v>
      </c>
      <c r="L109" s="22">
        <v>285</v>
      </c>
      <c r="M109" s="28">
        <v>256</v>
      </c>
      <c r="N109" s="28">
        <v>454</v>
      </c>
      <c r="O109" s="28">
        <v>2799</v>
      </c>
      <c r="P109" s="28">
        <v>20</v>
      </c>
      <c r="Q109" s="28">
        <v>151</v>
      </c>
      <c r="R109" s="28">
        <v>74.7</v>
      </c>
      <c r="S109" s="28">
        <v>31</v>
      </c>
      <c r="T109" s="22">
        <v>196</v>
      </c>
      <c r="U109" s="25">
        <v>488</v>
      </c>
      <c r="V109" s="28">
        <v>2152</v>
      </c>
      <c r="W109" s="28">
        <v>12</v>
      </c>
      <c r="X109" s="22">
        <v>106</v>
      </c>
      <c r="Y109" s="28">
        <v>18</v>
      </c>
      <c r="Z109" s="22">
        <v>12</v>
      </c>
      <c r="AA109" s="25">
        <v>32</v>
      </c>
      <c r="AB109" s="22">
        <v>294</v>
      </c>
      <c r="AC109" s="25">
        <v>54</v>
      </c>
      <c r="AD109" s="22">
        <v>1187</v>
      </c>
      <c r="AE109" s="28">
        <v>20</v>
      </c>
      <c r="AF109" s="28">
        <v>20</v>
      </c>
      <c r="AG109" s="28">
        <v>9</v>
      </c>
      <c r="AH109" s="22">
        <v>7</v>
      </c>
      <c r="AI109" s="25">
        <v>80</v>
      </c>
      <c r="AJ109" s="22">
        <v>3336</v>
      </c>
      <c r="AK109" s="25">
        <v>305</v>
      </c>
      <c r="AL109" s="28">
        <v>5220</v>
      </c>
      <c r="AM109" s="28">
        <v>1020</v>
      </c>
      <c r="AN109" s="22">
        <v>291</v>
      </c>
      <c r="AO109" s="28">
        <v>327</v>
      </c>
      <c r="AP109" s="28">
        <v>538</v>
      </c>
      <c r="AQ109" s="28">
        <v>3407</v>
      </c>
      <c r="AR109" s="28">
        <v>13</v>
      </c>
      <c r="AS109" s="28">
        <v>183</v>
      </c>
      <c r="AT109" s="28">
        <v>36</v>
      </c>
      <c r="AU109" s="22">
        <v>205</v>
      </c>
      <c r="AV109" s="25">
        <v>446</v>
      </c>
      <c r="AW109" s="28">
        <v>1813</v>
      </c>
      <c r="AX109" s="28">
        <v>13</v>
      </c>
      <c r="AY109" s="22">
        <v>97</v>
      </c>
      <c r="AZ109" s="25">
        <v>17</v>
      </c>
      <c r="BA109" s="22">
        <v>13</v>
      </c>
    </row>
    <row r="110" spans="1:53" x14ac:dyDescent="0.25">
      <c r="A110" s="4" t="s">
        <v>26</v>
      </c>
      <c r="B110" s="40">
        <v>2006</v>
      </c>
      <c r="C110" s="25">
        <v>3</v>
      </c>
      <c r="D110" s="28">
        <v>13</v>
      </c>
      <c r="E110" s="77" t="s">
        <v>96</v>
      </c>
      <c r="F110" s="28">
        <v>-6.4</v>
      </c>
      <c r="G110" s="28">
        <v>-1.8</v>
      </c>
      <c r="H110" s="22">
        <v>-4.5999999999999996</v>
      </c>
      <c r="I110" s="25">
        <v>305</v>
      </c>
      <c r="J110" s="28">
        <v>4949</v>
      </c>
      <c r="K110" s="28">
        <v>963</v>
      </c>
      <c r="L110" s="22">
        <v>290</v>
      </c>
      <c r="M110" s="28">
        <v>372</v>
      </c>
      <c r="N110" s="28">
        <v>596</v>
      </c>
      <c r="O110" s="28">
        <v>3820</v>
      </c>
      <c r="P110" s="28">
        <v>21</v>
      </c>
      <c r="Q110" s="28">
        <v>208</v>
      </c>
      <c r="R110" s="28">
        <v>79.900000000000006</v>
      </c>
      <c r="S110" s="28">
        <v>63</v>
      </c>
      <c r="T110" s="22">
        <v>388</v>
      </c>
      <c r="U110" s="25">
        <v>304</v>
      </c>
      <c r="V110" s="28">
        <v>1129</v>
      </c>
      <c r="W110" s="28">
        <v>9</v>
      </c>
      <c r="X110" s="22">
        <v>53</v>
      </c>
      <c r="Y110" s="28">
        <v>22</v>
      </c>
      <c r="Z110" s="22">
        <v>17</v>
      </c>
      <c r="AA110" s="25">
        <v>35</v>
      </c>
      <c r="AB110" s="22">
        <v>396</v>
      </c>
      <c r="AC110" s="25">
        <v>74</v>
      </c>
      <c r="AD110" s="22">
        <v>1648</v>
      </c>
      <c r="AE110" s="28">
        <v>19</v>
      </c>
      <c r="AF110" s="28">
        <v>19</v>
      </c>
      <c r="AG110" s="28">
        <v>14</v>
      </c>
      <c r="AH110" s="22">
        <v>10</v>
      </c>
      <c r="AI110" s="25">
        <v>66</v>
      </c>
      <c r="AJ110" s="22">
        <v>2970</v>
      </c>
      <c r="AK110" s="25">
        <v>398</v>
      </c>
      <c r="AL110" s="28">
        <v>5530</v>
      </c>
      <c r="AM110" s="28">
        <v>1033</v>
      </c>
      <c r="AN110" s="22">
        <v>319</v>
      </c>
      <c r="AO110" s="28">
        <v>339</v>
      </c>
      <c r="AP110" s="28">
        <v>511</v>
      </c>
      <c r="AQ110" s="28">
        <v>3520</v>
      </c>
      <c r="AR110" s="28">
        <v>22</v>
      </c>
      <c r="AS110" s="28">
        <v>183</v>
      </c>
      <c r="AT110" s="28">
        <v>30</v>
      </c>
      <c r="AU110" s="22">
        <v>201</v>
      </c>
      <c r="AV110" s="25">
        <v>492</v>
      </c>
      <c r="AW110" s="28">
        <v>2010</v>
      </c>
      <c r="AX110" s="28">
        <v>18</v>
      </c>
      <c r="AY110" s="22">
        <v>111</v>
      </c>
      <c r="AZ110" s="25">
        <v>12</v>
      </c>
      <c r="BA110" s="22">
        <v>18</v>
      </c>
    </row>
    <row r="111" spans="1:53" x14ac:dyDescent="0.25">
      <c r="A111" s="4" t="s">
        <v>24</v>
      </c>
      <c r="B111" s="40">
        <v>2006</v>
      </c>
      <c r="C111" s="25">
        <v>8</v>
      </c>
      <c r="D111" s="28">
        <v>8</v>
      </c>
      <c r="E111" s="77" t="s">
        <v>96</v>
      </c>
      <c r="F111" s="28">
        <v>-4.4000000000000004</v>
      </c>
      <c r="G111" s="28">
        <v>-2.2999999999999998</v>
      </c>
      <c r="H111" s="22">
        <v>-2.1</v>
      </c>
      <c r="I111" s="25">
        <v>301</v>
      </c>
      <c r="J111" s="28">
        <v>5458</v>
      </c>
      <c r="K111" s="28">
        <v>1085</v>
      </c>
      <c r="L111" s="22">
        <v>301</v>
      </c>
      <c r="M111" s="28">
        <v>350</v>
      </c>
      <c r="N111" s="28">
        <v>630</v>
      </c>
      <c r="O111" s="28">
        <v>3795</v>
      </c>
      <c r="P111" s="28">
        <v>18</v>
      </c>
      <c r="Q111" s="28">
        <v>185</v>
      </c>
      <c r="R111" s="28">
        <v>72.099999999999994</v>
      </c>
      <c r="S111" s="28">
        <v>24</v>
      </c>
      <c r="T111" s="22">
        <v>152</v>
      </c>
      <c r="U111" s="25">
        <v>431</v>
      </c>
      <c r="V111" s="28">
        <v>1663</v>
      </c>
      <c r="W111" s="28">
        <v>9</v>
      </c>
      <c r="X111" s="22">
        <v>93</v>
      </c>
      <c r="Y111" s="28">
        <v>18</v>
      </c>
      <c r="Z111" s="22">
        <v>15</v>
      </c>
      <c r="AA111" s="25">
        <v>53</v>
      </c>
      <c r="AB111" s="22">
        <v>415</v>
      </c>
      <c r="AC111" s="25">
        <v>70</v>
      </c>
      <c r="AD111" s="22">
        <v>1379</v>
      </c>
      <c r="AE111" s="28">
        <v>21</v>
      </c>
      <c r="AF111" s="28">
        <v>17</v>
      </c>
      <c r="AG111" s="28">
        <v>14</v>
      </c>
      <c r="AH111" s="22">
        <v>9</v>
      </c>
      <c r="AI111" s="25">
        <v>84</v>
      </c>
      <c r="AJ111" s="22">
        <v>3738</v>
      </c>
      <c r="AK111" s="25">
        <v>366</v>
      </c>
      <c r="AL111" s="28">
        <v>5134</v>
      </c>
      <c r="AM111" s="28">
        <v>1002</v>
      </c>
      <c r="AN111" s="22">
        <v>291</v>
      </c>
      <c r="AO111" s="28">
        <v>286</v>
      </c>
      <c r="AP111" s="28">
        <v>515</v>
      </c>
      <c r="AQ111" s="28">
        <v>3309</v>
      </c>
      <c r="AR111" s="28">
        <v>25</v>
      </c>
      <c r="AS111" s="28">
        <v>169</v>
      </c>
      <c r="AT111" s="28">
        <v>46</v>
      </c>
      <c r="AU111" s="22">
        <v>337</v>
      </c>
      <c r="AV111" s="25">
        <v>441</v>
      </c>
      <c r="AW111" s="28">
        <v>1825</v>
      </c>
      <c r="AX111" s="28">
        <v>12</v>
      </c>
      <c r="AY111" s="22">
        <v>95</v>
      </c>
      <c r="AZ111" s="25">
        <v>23</v>
      </c>
      <c r="BA111" s="22">
        <v>10</v>
      </c>
    </row>
    <row r="112" spans="1:53" x14ac:dyDescent="0.25">
      <c r="A112" s="4" t="s">
        <v>12</v>
      </c>
      <c r="B112" s="40">
        <v>2006</v>
      </c>
      <c r="C112" s="25">
        <v>6</v>
      </c>
      <c r="D112" s="28">
        <v>10</v>
      </c>
      <c r="E112" s="77" t="s">
        <v>96</v>
      </c>
      <c r="F112" s="28">
        <v>-4.5</v>
      </c>
      <c r="G112" s="28">
        <v>-3.2</v>
      </c>
      <c r="H112" s="22">
        <v>-1.3</v>
      </c>
      <c r="I112" s="25">
        <v>267</v>
      </c>
      <c r="J112" s="28">
        <v>4463</v>
      </c>
      <c r="K112" s="28">
        <v>955</v>
      </c>
      <c r="L112" s="22">
        <v>282</v>
      </c>
      <c r="M112" s="28">
        <v>329</v>
      </c>
      <c r="N112" s="28">
        <v>481</v>
      </c>
      <c r="O112" s="28">
        <v>2778</v>
      </c>
      <c r="P112" s="28">
        <v>14</v>
      </c>
      <c r="Q112" s="28">
        <v>156</v>
      </c>
      <c r="R112" s="28">
        <v>83.8</v>
      </c>
      <c r="S112" s="28">
        <v>43</v>
      </c>
      <c r="T112" s="22">
        <v>254</v>
      </c>
      <c r="U112" s="25">
        <v>431</v>
      </c>
      <c r="V112" s="28">
        <v>1685</v>
      </c>
      <c r="W112" s="28">
        <v>13</v>
      </c>
      <c r="X112" s="22">
        <v>106</v>
      </c>
      <c r="Y112" s="28">
        <v>13</v>
      </c>
      <c r="Z112" s="22">
        <v>12</v>
      </c>
      <c r="AA112" s="25">
        <v>23</v>
      </c>
      <c r="AB112" s="22">
        <v>242</v>
      </c>
      <c r="AC112" s="25">
        <v>71</v>
      </c>
      <c r="AD112" s="22">
        <v>1609</v>
      </c>
      <c r="AE112" s="28">
        <v>10</v>
      </c>
      <c r="AF112" s="28">
        <v>8</v>
      </c>
      <c r="AG112" s="28">
        <v>15</v>
      </c>
      <c r="AH112" s="22">
        <v>11</v>
      </c>
      <c r="AI112" s="25">
        <v>76</v>
      </c>
      <c r="AJ112" s="22">
        <v>3162</v>
      </c>
      <c r="AK112" s="25">
        <v>366</v>
      </c>
      <c r="AL112" s="28">
        <v>5400</v>
      </c>
      <c r="AM112" s="28">
        <v>979</v>
      </c>
      <c r="AN112" s="22">
        <v>312</v>
      </c>
      <c r="AO112" s="28">
        <v>328</v>
      </c>
      <c r="AP112" s="28">
        <v>505</v>
      </c>
      <c r="AQ112" s="28">
        <v>3444</v>
      </c>
      <c r="AR112" s="28">
        <v>22</v>
      </c>
      <c r="AS112" s="28">
        <v>174</v>
      </c>
      <c r="AT112" s="28">
        <v>28</v>
      </c>
      <c r="AU112" s="22">
        <v>191</v>
      </c>
      <c r="AV112" s="25">
        <v>446</v>
      </c>
      <c r="AW112" s="28">
        <v>1956</v>
      </c>
      <c r="AX112" s="28">
        <v>16</v>
      </c>
      <c r="AY112" s="22">
        <v>115</v>
      </c>
      <c r="AZ112" s="25">
        <v>11</v>
      </c>
      <c r="BA112" s="22">
        <v>11</v>
      </c>
    </row>
    <row r="113" spans="1:53" x14ac:dyDescent="0.25">
      <c r="A113" s="4" t="s">
        <v>11</v>
      </c>
      <c r="B113" s="40">
        <v>2006</v>
      </c>
      <c r="C113" s="25">
        <v>12</v>
      </c>
      <c r="D113" s="28">
        <v>4</v>
      </c>
      <c r="E113" s="77" t="s">
        <v>97</v>
      </c>
      <c r="F113" s="28">
        <v>5.9</v>
      </c>
      <c r="G113" s="28">
        <v>6.9</v>
      </c>
      <c r="H113" s="22">
        <v>-1.1000000000000001</v>
      </c>
      <c r="I113" s="25">
        <v>427</v>
      </c>
      <c r="J113" s="28">
        <v>6070</v>
      </c>
      <c r="K113" s="28">
        <v>1011</v>
      </c>
      <c r="L113" s="22">
        <v>376</v>
      </c>
      <c r="M113" s="28">
        <v>362</v>
      </c>
      <c r="N113" s="28">
        <v>557</v>
      </c>
      <c r="O113" s="28">
        <v>4308</v>
      </c>
      <c r="P113" s="28">
        <v>31</v>
      </c>
      <c r="Q113" s="28">
        <v>241</v>
      </c>
      <c r="R113" s="28">
        <v>101</v>
      </c>
      <c r="S113" s="28">
        <v>15</v>
      </c>
      <c r="T113" s="22">
        <v>89</v>
      </c>
      <c r="U113" s="25">
        <v>439</v>
      </c>
      <c r="V113" s="28">
        <v>1762</v>
      </c>
      <c r="W113" s="28">
        <v>17</v>
      </c>
      <c r="X113" s="22">
        <v>112</v>
      </c>
      <c r="Y113" s="28">
        <v>9</v>
      </c>
      <c r="Z113" s="22">
        <v>10</v>
      </c>
      <c r="AA113" s="25">
        <v>23</v>
      </c>
      <c r="AB113" s="22">
        <v>207</v>
      </c>
      <c r="AC113" s="25">
        <v>58</v>
      </c>
      <c r="AD113" s="22">
        <v>1368</v>
      </c>
      <c r="AE113" s="28">
        <v>18</v>
      </c>
      <c r="AF113" s="28">
        <v>17</v>
      </c>
      <c r="AG113" s="28">
        <v>11</v>
      </c>
      <c r="AH113" s="22">
        <v>9</v>
      </c>
      <c r="AI113" s="25">
        <v>48</v>
      </c>
      <c r="AJ113" s="22">
        <v>2083</v>
      </c>
      <c r="AK113" s="25">
        <v>360</v>
      </c>
      <c r="AL113" s="28">
        <v>5316</v>
      </c>
      <c r="AM113" s="28">
        <v>959</v>
      </c>
      <c r="AN113" s="22">
        <v>325</v>
      </c>
      <c r="AO113" s="28">
        <v>266</v>
      </c>
      <c r="AP113" s="28">
        <v>415</v>
      </c>
      <c r="AQ113" s="28">
        <v>2548</v>
      </c>
      <c r="AR113" s="28">
        <v>16</v>
      </c>
      <c r="AS113" s="28">
        <v>150</v>
      </c>
      <c r="AT113" s="28">
        <v>25</v>
      </c>
      <c r="AU113" s="22">
        <v>157</v>
      </c>
      <c r="AV113" s="25">
        <v>519</v>
      </c>
      <c r="AW113" s="28">
        <v>2768</v>
      </c>
      <c r="AX113" s="28">
        <v>20</v>
      </c>
      <c r="AY113" s="22">
        <v>150</v>
      </c>
      <c r="AZ113" s="25">
        <v>15</v>
      </c>
      <c r="BA113" s="22">
        <v>11</v>
      </c>
    </row>
    <row r="114" spans="1:53" x14ac:dyDescent="0.25">
      <c r="A114" s="4" t="s">
        <v>14</v>
      </c>
      <c r="B114" s="40">
        <v>2006</v>
      </c>
      <c r="C114" s="25">
        <v>8</v>
      </c>
      <c r="D114" s="28">
        <v>8</v>
      </c>
      <c r="E114" s="77" t="s">
        <v>96</v>
      </c>
      <c r="F114" s="28">
        <v>7.5</v>
      </c>
      <c r="G114" s="28">
        <v>2.6</v>
      </c>
      <c r="H114" s="22">
        <v>4.9000000000000004</v>
      </c>
      <c r="I114" s="25">
        <v>371</v>
      </c>
      <c r="J114" s="28">
        <v>5423</v>
      </c>
      <c r="K114" s="28">
        <v>989</v>
      </c>
      <c r="L114" s="22">
        <v>293</v>
      </c>
      <c r="M114" s="28">
        <v>266</v>
      </c>
      <c r="N114" s="28">
        <v>446</v>
      </c>
      <c r="O114" s="28">
        <v>2882</v>
      </c>
      <c r="P114" s="28">
        <v>17</v>
      </c>
      <c r="Q114" s="28">
        <v>147</v>
      </c>
      <c r="R114" s="28">
        <v>80</v>
      </c>
      <c r="S114" s="28">
        <v>30</v>
      </c>
      <c r="T114" s="22">
        <v>178</v>
      </c>
      <c r="U114" s="25">
        <v>513</v>
      </c>
      <c r="V114" s="28">
        <v>2541</v>
      </c>
      <c r="W114" s="28">
        <v>23</v>
      </c>
      <c r="X114" s="22">
        <v>127</v>
      </c>
      <c r="Y114" s="28">
        <v>14</v>
      </c>
      <c r="Z114" s="22">
        <v>9</v>
      </c>
      <c r="AA114" s="25">
        <v>45</v>
      </c>
      <c r="AB114" s="22">
        <v>361</v>
      </c>
      <c r="AC114" s="25">
        <v>49</v>
      </c>
      <c r="AD114" s="22">
        <v>1136</v>
      </c>
      <c r="AE114" s="28">
        <v>13</v>
      </c>
      <c r="AF114" s="28">
        <v>12</v>
      </c>
      <c r="AG114" s="28">
        <v>19</v>
      </c>
      <c r="AH114" s="22">
        <v>14</v>
      </c>
      <c r="AI114" s="25">
        <v>73</v>
      </c>
      <c r="AJ114" s="22">
        <v>2920</v>
      </c>
      <c r="AK114" s="25">
        <v>274</v>
      </c>
      <c r="AL114" s="28">
        <v>4538</v>
      </c>
      <c r="AM114" s="28">
        <v>978</v>
      </c>
      <c r="AN114" s="22">
        <v>259</v>
      </c>
      <c r="AO114" s="28">
        <v>294</v>
      </c>
      <c r="AP114" s="28">
        <v>523</v>
      </c>
      <c r="AQ114" s="28">
        <v>3078</v>
      </c>
      <c r="AR114" s="28">
        <v>12</v>
      </c>
      <c r="AS114" s="28">
        <v>143</v>
      </c>
      <c r="AT114" s="28">
        <v>35</v>
      </c>
      <c r="AU114" s="22">
        <v>200</v>
      </c>
      <c r="AV114" s="25">
        <v>420</v>
      </c>
      <c r="AW114" s="28">
        <v>1460</v>
      </c>
      <c r="AX114" s="28">
        <v>14</v>
      </c>
      <c r="AY114" s="22">
        <v>94</v>
      </c>
      <c r="AZ114" s="25">
        <v>20</v>
      </c>
      <c r="BA114" s="22">
        <v>4</v>
      </c>
    </row>
    <row r="115" spans="1:53" x14ac:dyDescent="0.25">
      <c r="A115" s="4" t="s">
        <v>18</v>
      </c>
      <c r="B115" s="40">
        <v>2006</v>
      </c>
      <c r="C115" s="25">
        <v>9</v>
      </c>
      <c r="D115" s="28">
        <v>7</v>
      </c>
      <c r="E115" s="77" t="s">
        <v>97</v>
      </c>
      <c r="F115" s="28">
        <v>1</v>
      </c>
      <c r="G115" s="28">
        <v>0.4</v>
      </c>
      <c r="H115" s="22">
        <v>0.6</v>
      </c>
      <c r="I115" s="25">
        <v>331</v>
      </c>
      <c r="J115" s="28">
        <v>5143</v>
      </c>
      <c r="K115" s="28">
        <v>1004</v>
      </c>
      <c r="L115" s="22">
        <v>310</v>
      </c>
      <c r="M115" s="28">
        <v>272</v>
      </c>
      <c r="N115" s="28">
        <v>450</v>
      </c>
      <c r="O115" s="28">
        <v>3000</v>
      </c>
      <c r="P115" s="28">
        <v>18</v>
      </c>
      <c r="Q115" s="28">
        <v>184</v>
      </c>
      <c r="R115" s="28">
        <v>84.7</v>
      </c>
      <c r="S115" s="28">
        <v>41</v>
      </c>
      <c r="T115" s="22">
        <v>243</v>
      </c>
      <c r="U115" s="25">
        <v>513</v>
      </c>
      <c r="V115" s="28">
        <v>2143</v>
      </c>
      <c r="W115" s="28">
        <v>17</v>
      </c>
      <c r="X115" s="22">
        <v>105</v>
      </c>
      <c r="Y115" s="28">
        <v>12</v>
      </c>
      <c r="Z115" s="22">
        <v>14</v>
      </c>
      <c r="AA115" s="25">
        <v>33</v>
      </c>
      <c r="AB115" s="22">
        <v>264</v>
      </c>
      <c r="AC115" s="25">
        <v>64</v>
      </c>
      <c r="AD115" s="22">
        <v>1404</v>
      </c>
      <c r="AE115" s="28">
        <v>17</v>
      </c>
      <c r="AF115" s="28">
        <v>15</v>
      </c>
      <c r="AG115" s="28">
        <v>14</v>
      </c>
      <c r="AH115" s="22">
        <v>9</v>
      </c>
      <c r="AI115" s="25">
        <v>72</v>
      </c>
      <c r="AJ115" s="22">
        <v>3175</v>
      </c>
      <c r="AK115" s="25">
        <v>315</v>
      </c>
      <c r="AL115" s="28">
        <v>5262</v>
      </c>
      <c r="AM115" s="28">
        <v>999</v>
      </c>
      <c r="AN115" s="22">
        <v>298</v>
      </c>
      <c r="AO115" s="28">
        <v>314</v>
      </c>
      <c r="AP115" s="28">
        <v>506</v>
      </c>
      <c r="AQ115" s="28">
        <v>3334</v>
      </c>
      <c r="AR115" s="28">
        <v>18</v>
      </c>
      <c r="AS115" s="28">
        <v>171</v>
      </c>
      <c r="AT115" s="28">
        <v>32</v>
      </c>
      <c r="AU115" s="22">
        <v>190</v>
      </c>
      <c r="AV115" s="25">
        <v>461</v>
      </c>
      <c r="AW115" s="28">
        <v>1928</v>
      </c>
      <c r="AX115" s="28">
        <v>14</v>
      </c>
      <c r="AY115" s="22">
        <v>109</v>
      </c>
      <c r="AZ115" s="25">
        <v>15</v>
      </c>
      <c r="BA115" s="22">
        <v>15</v>
      </c>
    </row>
    <row r="116" spans="1:53" x14ac:dyDescent="0.25">
      <c r="A116" s="4" t="s">
        <v>5</v>
      </c>
      <c r="B116" s="40">
        <v>2006</v>
      </c>
      <c r="C116" s="25">
        <v>6</v>
      </c>
      <c r="D116" s="28">
        <v>10</v>
      </c>
      <c r="E116" s="77" t="s">
        <v>96</v>
      </c>
      <c r="F116" s="28">
        <v>0.7</v>
      </c>
      <c r="G116" s="28">
        <v>-3.3</v>
      </c>
      <c r="H116" s="22">
        <v>4</v>
      </c>
      <c r="I116" s="25">
        <v>260</v>
      </c>
      <c r="J116" s="28">
        <v>4960</v>
      </c>
      <c r="K116" s="28">
        <v>1034</v>
      </c>
      <c r="L116" s="22">
        <v>281</v>
      </c>
      <c r="M116" s="28">
        <v>342</v>
      </c>
      <c r="N116" s="28">
        <v>591</v>
      </c>
      <c r="O116" s="28">
        <v>3287</v>
      </c>
      <c r="P116" s="28">
        <v>16</v>
      </c>
      <c r="Q116" s="28">
        <v>180</v>
      </c>
      <c r="R116" s="28">
        <v>71.2</v>
      </c>
      <c r="S116" s="28">
        <v>41</v>
      </c>
      <c r="T116" s="22">
        <v>290</v>
      </c>
      <c r="U116" s="25">
        <v>402</v>
      </c>
      <c r="V116" s="28">
        <v>1673</v>
      </c>
      <c r="W116" s="28">
        <v>7</v>
      </c>
      <c r="X116" s="22">
        <v>82</v>
      </c>
      <c r="Y116" s="28">
        <v>19</v>
      </c>
      <c r="Z116" s="22">
        <v>6</v>
      </c>
      <c r="AA116" s="25">
        <v>41</v>
      </c>
      <c r="AB116" s="22">
        <v>378</v>
      </c>
      <c r="AC116" s="25">
        <v>52</v>
      </c>
      <c r="AD116" s="22">
        <v>1102</v>
      </c>
      <c r="AE116" s="28">
        <v>18</v>
      </c>
      <c r="AF116" s="28">
        <v>16</v>
      </c>
      <c r="AG116" s="28">
        <v>18</v>
      </c>
      <c r="AH116" s="22">
        <v>10</v>
      </c>
      <c r="AI116" s="25">
        <v>86</v>
      </c>
      <c r="AJ116" s="22">
        <v>3638</v>
      </c>
      <c r="AK116" s="25">
        <v>283</v>
      </c>
      <c r="AL116" s="28">
        <v>4625</v>
      </c>
      <c r="AM116" s="28">
        <v>1005</v>
      </c>
      <c r="AN116" s="22">
        <v>267</v>
      </c>
      <c r="AO116" s="28">
        <v>279</v>
      </c>
      <c r="AP116" s="28">
        <v>497</v>
      </c>
      <c r="AQ116" s="28">
        <v>3007</v>
      </c>
      <c r="AR116" s="28">
        <v>22</v>
      </c>
      <c r="AS116" s="28">
        <v>166</v>
      </c>
      <c r="AT116" s="28">
        <v>47</v>
      </c>
      <c r="AU116" s="22">
        <v>268</v>
      </c>
      <c r="AV116" s="25">
        <v>461</v>
      </c>
      <c r="AW116" s="28">
        <v>1618</v>
      </c>
      <c r="AX116" s="28">
        <v>7</v>
      </c>
      <c r="AY116" s="22">
        <v>72</v>
      </c>
      <c r="AZ116" s="25">
        <v>8</v>
      </c>
      <c r="BA116" s="22">
        <v>19</v>
      </c>
    </row>
    <row r="117" spans="1:53" x14ac:dyDescent="0.25">
      <c r="A117" s="4" t="s">
        <v>23</v>
      </c>
      <c r="B117" s="40">
        <v>2006</v>
      </c>
      <c r="C117" s="25">
        <v>6</v>
      </c>
      <c r="D117" s="28">
        <v>10</v>
      </c>
      <c r="E117" s="77" t="s">
        <v>96</v>
      </c>
      <c r="F117" s="28">
        <v>-4.0999999999999996</v>
      </c>
      <c r="G117" s="28">
        <v>-3.7</v>
      </c>
      <c r="H117" s="22">
        <v>-0.4</v>
      </c>
      <c r="I117" s="25">
        <v>282</v>
      </c>
      <c r="J117" s="28">
        <v>4943</v>
      </c>
      <c r="K117" s="28">
        <v>1025</v>
      </c>
      <c r="L117" s="22">
        <v>272</v>
      </c>
      <c r="M117" s="28">
        <v>332</v>
      </c>
      <c r="N117" s="28">
        <v>540</v>
      </c>
      <c r="O117" s="28">
        <v>3123</v>
      </c>
      <c r="P117" s="28">
        <v>13</v>
      </c>
      <c r="Q117" s="28">
        <v>160</v>
      </c>
      <c r="R117" s="28">
        <v>72.2</v>
      </c>
      <c r="S117" s="28">
        <v>43</v>
      </c>
      <c r="T117" s="22">
        <v>279</v>
      </c>
      <c r="U117" s="25">
        <v>442</v>
      </c>
      <c r="V117" s="28">
        <v>1820</v>
      </c>
      <c r="W117" s="28">
        <v>12</v>
      </c>
      <c r="X117" s="22">
        <v>87</v>
      </c>
      <c r="Y117" s="28">
        <v>20</v>
      </c>
      <c r="Z117" s="22">
        <v>12</v>
      </c>
      <c r="AA117" s="25">
        <v>38</v>
      </c>
      <c r="AB117" s="22">
        <v>374</v>
      </c>
      <c r="AC117" s="25">
        <v>66</v>
      </c>
      <c r="AD117" s="22">
        <v>1492</v>
      </c>
      <c r="AE117" s="28">
        <v>17</v>
      </c>
      <c r="AF117" s="28">
        <v>17</v>
      </c>
      <c r="AG117" s="28">
        <v>8</v>
      </c>
      <c r="AH117" s="22">
        <v>4</v>
      </c>
      <c r="AI117" s="25">
        <v>94</v>
      </c>
      <c r="AJ117" s="22">
        <v>3957</v>
      </c>
      <c r="AK117" s="25">
        <v>327</v>
      </c>
      <c r="AL117" s="28">
        <v>4803</v>
      </c>
      <c r="AM117" s="28">
        <v>977</v>
      </c>
      <c r="AN117" s="22">
        <v>272</v>
      </c>
      <c r="AO117" s="28">
        <v>355</v>
      </c>
      <c r="AP117" s="28">
        <v>599</v>
      </c>
      <c r="AQ117" s="28">
        <v>3818</v>
      </c>
      <c r="AR117" s="28">
        <v>15</v>
      </c>
      <c r="AS117" s="28">
        <v>192</v>
      </c>
      <c r="AT117" s="28">
        <v>30</v>
      </c>
      <c r="AU117" s="22">
        <v>197</v>
      </c>
      <c r="AV117" s="25">
        <v>348</v>
      </c>
      <c r="AW117" s="28">
        <v>985</v>
      </c>
      <c r="AX117" s="28">
        <v>9</v>
      </c>
      <c r="AY117" s="22">
        <v>53</v>
      </c>
      <c r="AZ117" s="25">
        <v>21</v>
      </c>
      <c r="BA117" s="22">
        <v>15</v>
      </c>
    </row>
    <row r="118" spans="1:53" x14ac:dyDescent="0.25">
      <c r="A118" s="4" t="s">
        <v>3</v>
      </c>
      <c r="B118" s="40">
        <v>2006</v>
      </c>
      <c r="C118" s="25">
        <v>12</v>
      </c>
      <c r="D118" s="28">
        <v>4</v>
      </c>
      <c r="E118" s="77" t="s">
        <v>97</v>
      </c>
      <c r="F118" s="28">
        <v>10.199999999999999</v>
      </c>
      <c r="G118" s="28">
        <v>4.3</v>
      </c>
      <c r="H118" s="22">
        <v>5.9</v>
      </c>
      <c r="I118" s="25">
        <v>385</v>
      </c>
      <c r="J118" s="28">
        <v>5369</v>
      </c>
      <c r="K118" s="28">
        <v>1055</v>
      </c>
      <c r="L118" s="22">
        <v>330</v>
      </c>
      <c r="M118" s="28">
        <v>326</v>
      </c>
      <c r="N118" s="28">
        <v>527</v>
      </c>
      <c r="O118" s="28">
        <v>3400</v>
      </c>
      <c r="P118" s="28">
        <v>25</v>
      </c>
      <c r="Q118" s="28">
        <v>181</v>
      </c>
      <c r="R118" s="28">
        <v>88.3</v>
      </c>
      <c r="S118" s="28">
        <v>29</v>
      </c>
      <c r="T118" s="22">
        <v>190</v>
      </c>
      <c r="U118" s="25">
        <v>499</v>
      </c>
      <c r="V118" s="28">
        <v>1969</v>
      </c>
      <c r="W118" s="28">
        <v>20</v>
      </c>
      <c r="X118" s="22">
        <v>121</v>
      </c>
      <c r="Y118" s="28">
        <v>12</v>
      </c>
      <c r="Z118" s="22">
        <v>15</v>
      </c>
      <c r="AA118" s="25">
        <v>36</v>
      </c>
      <c r="AB118" s="22">
        <v>422</v>
      </c>
      <c r="AC118" s="25">
        <v>58</v>
      </c>
      <c r="AD118" s="22">
        <v>1553</v>
      </c>
      <c r="AE118" s="28">
        <v>21</v>
      </c>
      <c r="AF118" s="28">
        <v>17</v>
      </c>
      <c r="AG118" s="28">
        <v>5</v>
      </c>
      <c r="AH118" s="22">
        <v>3</v>
      </c>
      <c r="AI118" s="25">
        <v>69</v>
      </c>
      <c r="AJ118" s="22">
        <v>2850</v>
      </c>
      <c r="AK118" s="25">
        <v>237</v>
      </c>
      <c r="AL118" s="28">
        <v>4710</v>
      </c>
      <c r="AM118" s="28">
        <v>950</v>
      </c>
      <c r="AN118" s="22">
        <v>264</v>
      </c>
      <c r="AO118" s="28">
        <v>294</v>
      </c>
      <c r="AP118" s="28">
        <v>518</v>
      </c>
      <c r="AQ118" s="28">
        <v>3203</v>
      </c>
      <c r="AR118" s="28">
        <v>10</v>
      </c>
      <c r="AS118" s="28">
        <v>164</v>
      </c>
      <c r="AT118" s="28">
        <v>44</v>
      </c>
      <c r="AU118" s="22">
        <v>281</v>
      </c>
      <c r="AV118" s="25">
        <v>388</v>
      </c>
      <c r="AW118" s="28">
        <v>1507</v>
      </c>
      <c r="AX118" s="28">
        <v>11</v>
      </c>
      <c r="AY118" s="22">
        <v>67</v>
      </c>
      <c r="AZ118" s="25">
        <v>22</v>
      </c>
      <c r="BA118" s="22">
        <v>13</v>
      </c>
    </row>
    <row r="119" spans="1:53" x14ac:dyDescent="0.25">
      <c r="A119" s="4" t="s">
        <v>27</v>
      </c>
      <c r="B119" s="40">
        <v>2006</v>
      </c>
      <c r="C119" s="25">
        <v>10</v>
      </c>
      <c r="D119" s="28">
        <v>6</v>
      </c>
      <c r="E119" s="77" t="s">
        <v>97</v>
      </c>
      <c r="F119" s="28">
        <v>4</v>
      </c>
      <c r="G119" s="28">
        <v>4.9000000000000004</v>
      </c>
      <c r="H119" s="22">
        <v>-0.9</v>
      </c>
      <c r="I119" s="25">
        <v>413</v>
      </c>
      <c r="J119" s="28">
        <v>6264</v>
      </c>
      <c r="K119" s="28">
        <v>1075</v>
      </c>
      <c r="L119" s="22">
        <v>330</v>
      </c>
      <c r="M119" s="28">
        <v>372</v>
      </c>
      <c r="N119" s="28">
        <v>580</v>
      </c>
      <c r="O119" s="28">
        <v>4503</v>
      </c>
      <c r="P119" s="28">
        <v>27</v>
      </c>
      <c r="Q119" s="28">
        <v>207</v>
      </c>
      <c r="R119" s="28">
        <v>94.9</v>
      </c>
      <c r="S119" s="28">
        <v>23</v>
      </c>
      <c r="T119" s="22">
        <v>123</v>
      </c>
      <c r="U119" s="25">
        <v>472</v>
      </c>
      <c r="V119" s="28">
        <v>1761</v>
      </c>
      <c r="W119" s="28">
        <v>19</v>
      </c>
      <c r="X119" s="22">
        <v>99</v>
      </c>
      <c r="Y119" s="28">
        <v>13</v>
      </c>
      <c r="Z119" s="22">
        <v>10</v>
      </c>
      <c r="AA119" s="25">
        <v>51</v>
      </c>
      <c r="AB119" s="22">
        <v>372</v>
      </c>
      <c r="AC119" s="25">
        <v>60</v>
      </c>
      <c r="AD119" s="22">
        <v>1377</v>
      </c>
      <c r="AE119" s="28">
        <v>18</v>
      </c>
      <c r="AF119" s="28">
        <v>17</v>
      </c>
      <c r="AG119" s="28">
        <v>8</v>
      </c>
      <c r="AH119" s="22">
        <v>6</v>
      </c>
      <c r="AI119" s="25">
        <v>77</v>
      </c>
      <c r="AJ119" s="22">
        <v>3373</v>
      </c>
      <c r="AK119" s="25">
        <v>322</v>
      </c>
      <c r="AL119" s="28">
        <v>4917</v>
      </c>
      <c r="AM119" s="28">
        <v>930</v>
      </c>
      <c r="AN119" s="22">
        <v>262</v>
      </c>
      <c r="AO119" s="28">
        <v>267</v>
      </c>
      <c r="AP119" s="28">
        <v>474</v>
      </c>
      <c r="AQ119" s="28">
        <v>2854</v>
      </c>
      <c r="AR119" s="28">
        <v>26</v>
      </c>
      <c r="AS119" s="28">
        <v>148</v>
      </c>
      <c r="AT119" s="28">
        <v>38</v>
      </c>
      <c r="AU119" s="22">
        <v>268</v>
      </c>
      <c r="AV119" s="25">
        <v>418</v>
      </c>
      <c r="AW119" s="28">
        <v>2063</v>
      </c>
      <c r="AX119" s="28">
        <v>10</v>
      </c>
      <c r="AY119" s="22">
        <v>96</v>
      </c>
      <c r="AZ119" s="25">
        <v>11</v>
      </c>
      <c r="BA119" s="22">
        <v>8</v>
      </c>
    </row>
    <row r="120" spans="1:53" x14ac:dyDescent="0.25">
      <c r="A120" s="4" t="s">
        <v>21</v>
      </c>
      <c r="B120" s="40">
        <v>2006</v>
      </c>
      <c r="C120" s="25">
        <v>8</v>
      </c>
      <c r="D120" s="28">
        <v>8</v>
      </c>
      <c r="E120" s="77" t="s">
        <v>97</v>
      </c>
      <c r="F120" s="28">
        <v>0.1</v>
      </c>
      <c r="G120" s="28">
        <v>1.2</v>
      </c>
      <c r="H120" s="22">
        <v>-1.1000000000000001</v>
      </c>
      <c r="I120" s="25">
        <v>355</v>
      </c>
      <c r="J120" s="28">
        <v>5214</v>
      </c>
      <c r="K120" s="28">
        <v>1003</v>
      </c>
      <c r="L120" s="22">
        <v>304</v>
      </c>
      <c r="M120" s="28">
        <v>301</v>
      </c>
      <c r="N120" s="28">
        <v>523</v>
      </c>
      <c r="O120" s="28">
        <v>3058</v>
      </c>
      <c r="P120" s="28">
        <v>24</v>
      </c>
      <c r="Q120" s="28">
        <v>163</v>
      </c>
      <c r="R120" s="28">
        <v>76.8</v>
      </c>
      <c r="S120" s="28">
        <v>25</v>
      </c>
      <c r="T120" s="22">
        <v>186</v>
      </c>
      <c r="U120" s="25">
        <v>455</v>
      </c>
      <c r="V120" s="28">
        <v>2156</v>
      </c>
      <c r="W120" s="28">
        <v>14</v>
      </c>
      <c r="X120" s="22">
        <v>120</v>
      </c>
      <c r="Y120" s="28">
        <v>18</v>
      </c>
      <c r="Z120" s="22">
        <v>10</v>
      </c>
      <c r="AA120" s="25">
        <v>33</v>
      </c>
      <c r="AB120" s="22">
        <v>288</v>
      </c>
      <c r="AC120" s="25">
        <v>70</v>
      </c>
      <c r="AD120" s="22">
        <v>1407</v>
      </c>
      <c r="AE120" s="28">
        <v>18</v>
      </c>
      <c r="AF120" s="28">
        <v>17</v>
      </c>
      <c r="AG120" s="28">
        <v>9</v>
      </c>
      <c r="AH120" s="22">
        <v>6</v>
      </c>
      <c r="AI120" s="25">
        <v>77</v>
      </c>
      <c r="AJ120" s="22">
        <v>3095</v>
      </c>
      <c r="AK120" s="25">
        <v>362</v>
      </c>
      <c r="AL120" s="28">
        <v>5479</v>
      </c>
      <c r="AM120" s="28">
        <v>1057</v>
      </c>
      <c r="AN120" s="22">
        <v>314</v>
      </c>
      <c r="AO120" s="28">
        <v>333</v>
      </c>
      <c r="AP120" s="28">
        <v>567</v>
      </c>
      <c r="AQ120" s="28">
        <v>3649</v>
      </c>
      <c r="AR120" s="28">
        <v>21</v>
      </c>
      <c r="AS120" s="28">
        <v>189</v>
      </c>
      <c r="AT120" s="28">
        <v>32</v>
      </c>
      <c r="AU120" s="22">
        <v>181</v>
      </c>
      <c r="AV120" s="25">
        <v>458</v>
      </c>
      <c r="AW120" s="28">
        <v>1830</v>
      </c>
      <c r="AX120" s="28">
        <v>19</v>
      </c>
      <c r="AY120" s="22">
        <v>106</v>
      </c>
      <c r="AZ120" s="25">
        <v>17</v>
      </c>
      <c r="BA120" s="22">
        <v>11</v>
      </c>
    </row>
    <row r="121" spans="1:53" x14ac:dyDescent="0.25">
      <c r="A121" s="4" t="s">
        <v>4</v>
      </c>
      <c r="B121" s="40">
        <v>2006</v>
      </c>
      <c r="C121" s="25">
        <v>10</v>
      </c>
      <c r="D121" s="28">
        <v>6</v>
      </c>
      <c r="E121" s="77" t="s">
        <v>97</v>
      </c>
      <c r="F121" s="28">
        <v>2</v>
      </c>
      <c r="G121" s="28">
        <v>0.4</v>
      </c>
      <c r="H121" s="22">
        <v>1.7</v>
      </c>
      <c r="I121" s="25">
        <v>316</v>
      </c>
      <c r="J121" s="28">
        <v>4891</v>
      </c>
      <c r="K121" s="28">
        <v>1013</v>
      </c>
      <c r="L121" s="22">
        <v>289</v>
      </c>
      <c r="M121" s="28">
        <v>313</v>
      </c>
      <c r="N121" s="28">
        <v>488</v>
      </c>
      <c r="O121" s="28">
        <v>3153</v>
      </c>
      <c r="P121" s="28">
        <v>17</v>
      </c>
      <c r="Q121" s="28">
        <v>161</v>
      </c>
      <c r="R121" s="28">
        <v>82.1</v>
      </c>
      <c r="S121" s="28">
        <v>34</v>
      </c>
      <c r="T121" s="22">
        <v>199</v>
      </c>
      <c r="U121" s="25">
        <v>491</v>
      </c>
      <c r="V121" s="28">
        <v>1738</v>
      </c>
      <c r="W121" s="28">
        <v>15</v>
      </c>
      <c r="X121" s="22">
        <v>99</v>
      </c>
      <c r="Y121" s="28">
        <v>16</v>
      </c>
      <c r="Z121" s="22">
        <v>9</v>
      </c>
      <c r="AA121" s="25">
        <v>29</v>
      </c>
      <c r="AB121" s="22">
        <v>243</v>
      </c>
      <c r="AC121" s="25">
        <v>60</v>
      </c>
      <c r="AD121" s="22">
        <v>1445</v>
      </c>
      <c r="AE121" s="28">
        <v>20</v>
      </c>
      <c r="AF121" s="28">
        <v>18</v>
      </c>
      <c r="AG121" s="28">
        <v>7</v>
      </c>
      <c r="AH121" s="22">
        <v>6</v>
      </c>
      <c r="AI121" s="25">
        <v>74</v>
      </c>
      <c r="AJ121" s="22">
        <v>3212</v>
      </c>
      <c r="AK121" s="25">
        <v>295</v>
      </c>
      <c r="AL121" s="28">
        <v>5306</v>
      </c>
      <c r="AM121" s="28">
        <v>1020</v>
      </c>
      <c r="AN121" s="22">
        <v>312</v>
      </c>
      <c r="AO121" s="28">
        <v>316</v>
      </c>
      <c r="AP121" s="28">
        <v>532</v>
      </c>
      <c r="AQ121" s="28">
        <v>3222</v>
      </c>
      <c r="AR121" s="28">
        <v>19</v>
      </c>
      <c r="AS121" s="28">
        <v>181</v>
      </c>
      <c r="AT121" s="28">
        <v>35</v>
      </c>
      <c r="AU121" s="22">
        <v>230</v>
      </c>
      <c r="AV121" s="25">
        <v>453</v>
      </c>
      <c r="AW121" s="28">
        <v>2084</v>
      </c>
      <c r="AX121" s="28">
        <v>14</v>
      </c>
      <c r="AY121" s="22">
        <v>111</v>
      </c>
      <c r="AZ121" s="25">
        <v>16</v>
      </c>
      <c r="BA121" s="22">
        <v>9</v>
      </c>
    </row>
    <row r="122" spans="1:53" x14ac:dyDescent="0.25">
      <c r="A122" s="4" t="s">
        <v>17</v>
      </c>
      <c r="B122" s="40">
        <v>2006</v>
      </c>
      <c r="C122" s="25">
        <v>2</v>
      </c>
      <c r="D122" s="28">
        <v>14</v>
      </c>
      <c r="E122" s="77" t="s">
        <v>96</v>
      </c>
      <c r="F122" s="28">
        <v>-9.6</v>
      </c>
      <c r="G122" s="28">
        <v>-10.3</v>
      </c>
      <c r="H122" s="22">
        <v>0.7</v>
      </c>
      <c r="I122" s="25">
        <v>168</v>
      </c>
      <c r="J122" s="28">
        <v>3939</v>
      </c>
      <c r="K122" s="28">
        <v>949</v>
      </c>
      <c r="L122" s="22">
        <v>243</v>
      </c>
      <c r="M122" s="28">
        <v>263</v>
      </c>
      <c r="N122" s="28">
        <v>483</v>
      </c>
      <c r="O122" s="28">
        <v>2420</v>
      </c>
      <c r="P122" s="28">
        <v>7</v>
      </c>
      <c r="Q122" s="28">
        <v>144</v>
      </c>
      <c r="R122" s="28">
        <v>56.2</v>
      </c>
      <c r="S122" s="28">
        <v>72</v>
      </c>
      <c r="T122" s="22">
        <v>430</v>
      </c>
      <c r="U122" s="25">
        <v>394</v>
      </c>
      <c r="V122" s="28">
        <v>1519</v>
      </c>
      <c r="W122" s="28">
        <v>5</v>
      </c>
      <c r="X122" s="22">
        <v>73</v>
      </c>
      <c r="Y122" s="28">
        <v>24</v>
      </c>
      <c r="Z122" s="22">
        <v>22</v>
      </c>
      <c r="AA122" s="25">
        <v>35</v>
      </c>
      <c r="AB122" s="22">
        <v>216</v>
      </c>
      <c r="AC122" s="25">
        <v>73</v>
      </c>
      <c r="AD122" s="22">
        <v>1811</v>
      </c>
      <c r="AE122" s="28">
        <v>15</v>
      </c>
      <c r="AF122" s="28">
        <v>12</v>
      </c>
      <c r="AG122" s="28">
        <v>10</v>
      </c>
      <c r="AH122" s="22">
        <v>6</v>
      </c>
      <c r="AI122" s="25">
        <v>78</v>
      </c>
      <c r="AJ122" s="22">
        <v>3658</v>
      </c>
      <c r="AK122" s="25">
        <v>332</v>
      </c>
      <c r="AL122" s="28">
        <v>4557</v>
      </c>
      <c r="AM122" s="28">
        <v>986</v>
      </c>
      <c r="AN122" s="22">
        <v>267</v>
      </c>
      <c r="AO122" s="28">
        <v>245</v>
      </c>
      <c r="AP122" s="28">
        <v>410</v>
      </c>
      <c r="AQ122" s="28">
        <v>2413</v>
      </c>
      <c r="AR122" s="28">
        <v>17</v>
      </c>
      <c r="AS122" s="28">
        <v>137</v>
      </c>
      <c r="AT122" s="28">
        <v>34</v>
      </c>
      <c r="AU122" s="22">
        <v>218</v>
      </c>
      <c r="AV122" s="25">
        <v>542</v>
      </c>
      <c r="AW122" s="28">
        <v>2144</v>
      </c>
      <c r="AX122" s="28">
        <v>15</v>
      </c>
      <c r="AY122" s="22">
        <v>107</v>
      </c>
      <c r="AZ122" s="25">
        <v>18</v>
      </c>
      <c r="BA122" s="22">
        <v>5</v>
      </c>
    </row>
    <row r="123" spans="1:53" x14ac:dyDescent="0.25">
      <c r="A123" s="4" t="s">
        <v>20</v>
      </c>
      <c r="B123" s="40">
        <v>2006</v>
      </c>
      <c r="C123" s="25">
        <v>10</v>
      </c>
      <c r="D123" s="28">
        <v>6</v>
      </c>
      <c r="E123" s="77" t="s">
        <v>97</v>
      </c>
      <c r="F123" s="28">
        <v>3.4</v>
      </c>
      <c r="G123" s="28">
        <v>3.2</v>
      </c>
      <c r="H123" s="22">
        <v>0.2</v>
      </c>
      <c r="I123" s="25">
        <v>398</v>
      </c>
      <c r="J123" s="28">
        <v>6103</v>
      </c>
      <c r="K123" s="28">
        <v>988</v>
      </c>
      <c r="L123" s="22">
        <v>312</v>
      </c>
      <c r="M123" s="28">
        <v>323</v>
      </c>
      <c r="N123" s="28">
        <v>544</v>
      </c>
      <c r="O123" s="28">
        <v>4119</v>
      </c>
      <c r="P123" s="28">
        <v>31</v>
      </c>
      <c r="Q123" s="28">
        <v>189</v>
      </c>
      <c r="R123" s="28">
        <v>96.7</v>
      </c>
      <c r="S123" s="28">
        <v>28</v>
      </c>
      <c r="T123" s="22">
        <v>190</v>
      </c>
      <c r="U123" s="25">
        <v>416</v>
      </c>
      <c r="V123" s="28">
        <v>1984</v>
      </c>
      <c r="W123" s="28">
        <v>13</v>
      </c>
      <c r="X123" s="22">
        <v>106</v>
      </c>
      <c r="Y123" s="28">
        <v>9</v>
      </c>
      <c r="Z123" s="22">
        <v>15</v>
      </c>
      <c r="AA123" s="25">
        <v>36</v>
      </c>
      <c r="AB123" s="22">
        <v>339</v>
      </c>
      <c r="AC123" s="25">
        <v>58</v>
      </c>
      <c r="AD123" s="22">
        <v>1204</v>
      </c>
      <c r="AE123" s="28">
        <v>15</v>
      </c>
      <c r="AF123" s="28">
        <v>12</v>
      </c>
      <c r="AG123" s="28">
        <v>8</v>
      </c>
      <c r="AH123" s="22">
        <v>6</v>
      </c>
      <c r="AI123" s="25">
        <v>78</v>
      </c>
      <c r="AJ123" s="22">
        <v>3323</v>
      </c>
      <c r="AK123" s="25">
        <v>328</v>
      </c>
      <c r="AL123" s="28">
        <v>5249</v>
      </c>
      <c r="AM123" s="28">
        <v>1054</v>
      </c>
      <c r="AN123" s="22">
        <v>314</v>
      </c>
      <c r="AO123" s="28">
        <v>309</v>
      </c>
      <c r="AP123" s="28">
        <v>525</v>
      </c>
      <c r="AQ123" s="28">
        <v>3067</v>
      </c>
      <c r="AR123" s="28">
        <v>17</v>
      </c>
      <c r="AS123" s="28">
        <v>154</v>
      </c>
      <c r="AT123" s="28">
        <v>40</v>
      </c>
      <c r="AU123" s="22">
        <v>300</v>
      </c>
      <c r="AV123" s="25">
        <v>489</v>
      </c>
      <c r="AW123" s="28">
        <v>2182</v>
      </c>
      <c r="AX123" s="28">
        <v>12</v>
      </c>
      <c r="AY123" s="22">
        <v>126</v>
      </c>
      <c r="AZ123" s="25">
        <v>19</v>
      </c>
      <c r="BA123" s="22">
        <v>10</v>
      </c>
    </row>
    <row r="124" spans="1:53" x14ac:dyDescent="0.25">
      <c r="A124" s="4" t="s">
        <v>9</v>
      </c>
      <c r="B124" s="40">
        <v>2006</v>
      </c>
      <c r="C124" s="25">
        <v>8</v>
      </c>
      <c r="D124" s="28">
        <v>8</v>
      </c>
      <c r="E124" s="77" t="s">
        <v>96</v>
      </c>
      <c r="F124" s="28">
        <v>3.4</v>
      </c>
      <c r="G124" s="28">
        <v>3</v>
      </c>
      <c r="H124" s="22">
        <v>0.4</v>
      </c>
      <c r="I124" s="25">
        <v>353</v>
      </c>
      <c r="J124" s="28">
        <v>5725</v>
      </c>
      <c r="K124" s="28">
        <v>1041</v>
      </c>
      <c r="L124" s="22">
        <v>327</v>
      </c>
      <c r="M124" s="28">
        <v>312</v>
      </c>
      <c r="N124" s="28">
        <v>523</v>
      </c>
      <c r="O124" s="28">
        <v>3733</v>
      </c>
      <c r="P124" s="28">
        <v>23</v>
      </c>
      <c r="Q124" s="28">
        <v>201</v>
      </c>
      <c r="R124" s="28">
        <v>80.2</v>
      </c>
      <c r="S124" s="28">
        <v>49</v>
      </c>
      <c r="T124" s="22">
        <v>293</v>
      </c>
      <c r="U124" s="25">
        <v>469</v>
      </c>
      <c r="V124" s="28">
        <v>1992</v>
      </c>
      <c r="W124" s="28">
        <v>16</v>
      </c>
      <c r="X124" s="22">
        <v>100</v>
      </c>
      <c r="Y124" s="28">
        <v>23</v>
      </c>
      <c r="Z124" s="22">
        <v>14</v>
      </c>
      <c r="AA124" s="25">
        <v>34</v>
      </c>
      <c r="AB124" s="22">
        <v>285</v>
      </c>
      <c r="AC124" s="25">
        <v>55</v>
      </c>
      <c r="AD124" s="22">
        <v>1214</v>
      </c>
      <c r="AE124" s="28">
        <v>19</v>
      </c>
      <c r="AF124" s="28">
        <v>15</v>
      </c>
      <c r="AG124" s="28">
        <v>8</v>
      </c>
      <c r="AH124" s="22">
        <v>5</v>
      </c>
      <c r="AI124" s="25">
        <v>65</v>
      </c>
      <c r="AJ124" s="22">
        <v>2684</v>
      </c>
      <c r="AK124" s="25">
        <v>315</v>
      </c>
      <c r="AL124" s="28">
        <v>4805</v>
      </c>
      <c r="AM124" s="28">
        <v>976</v>
      </c>
      <c r="AN124" s="22">
        <v>269</v>
      </c>
      <c r="AO124" s="28">
        <v>319</v>
      </c>
      <c r="AP124" s="28">
        <v>529</v>
      </c>
      <c r="AQ124" s="28">
        <v>3393</v>
      </c>
      <c r="AR124" s="28">
        <v>21</v>
      </c>
      <c r="AS124" s="28">
        <v>176</v>
      </c>
      <c r="AT124" s="28">
        <v>39</v>
      </c>
      <c r="AU124" s="22">
        <v>226</v>
      </c>
      <c r="AV124" s="25">
        <v>408</v>
      </c>
      <c r="AW124" s="28">
        <v>1412</v>
      </c>
      <c r="AX124" s="28">
        <v>9</v>
      </c>
      <c r="AY124" s="22">
        <v>72</v>
      </c>
      <c r="AZ124" s="25">
        <v>20</v>
      </c>
      <c r="BA124" s="22">
        <v>9</v>
      </c>
    </row>
    <row r="125" spans="1:53" x14ac:dyDescent="0.25">
      <c r="A125" s="4" t="s">
        <v>15</v>
      </c>
      <c r="B125" s="40">
        <v>2006</v>
      </c>
      <c r="C125" s="25">
        <v>14</v>
      </c>
      <c r="D125" s="28">
        <v>2</v>
      </c>
      <c r="E125" s="77" t="s">
        <v>97</v>
      </c>
      <c r="F125" s="28">
        <v>10.199999999999999</v>
      </c>
      <c r="G125" s="28">
        <v>10</v>
      </c>
      <c r="H125" s="22">
        <v>0.2</v>
      </c>
      <c r="I125" s="25">
        <v>492</v>
      </c>
      <c r="J125" s="28">
        <v>5840</v>
      </c>
      <c r="K125" s="28">
        <v>1016</v>
      </c>
      <c r="L125" s="22">
        <v>321</v>
      </c>
      <c r="M125" s="28">
        <v>287</v>
      </c>
      <c r="N125" s="28">
        <v>466</v>
      </c>
      <c r="O125" s="28">
        <v>3262</v>
      </c>
      <c r="P125" s="28">
        <v>24</v>
      </c>
      <c r="Q125" s="28">
        <v>169</v>
      </c>
      <c r="R125" s="28">
        <v>93</v>
      </c>
      <c r="S125" s="28">
        <v>28</v>
      </c>
      <c r="T125" s="22">
        <v>150</v>
      </c>
      <c r="U125" s="25">
        <v>522</v>
      </c>
      <c r="V125" s="28">
        <v>2578</v>
      </c>
      <c r="W125" s="28">
        <v>32</v>
      </c>
      <c r="X125" s="22">
        <v>137</v>
      </c>
      <c r="Y125" s="28">
        <v>9</v>
      </c>
      <c r="Z125" s="22">
        <v>6</v>
      </c>
      <c r="AA125" s="25">
        <v>45</v>
      </c>
      <c r="AB125" s="22">
        <v>382</v>
      </c>
      <c r="AC125" s="25">
        <v>55</v>
      </c>
      <c r="AD125" s="22">
        <v>1350</v>
      </c>
      <c r="AE125" s="28">
        <v>19</v>
      </c>
      <c r="AF125" s="28">
        <v>18</v>
      </c>
      <c r="AG125" s="28">
        <v>10</v>
      </c>
      <c r="AH125" s="22">
        <v>8</v>
      </c>
      <c r="AI125" s="25">
        <v>69</v>
      </c>
      <c r="AJ125" s="22">
        <v>2891</v>
      </c>
      <c r="AK125" s="25">
        <v>303</v>
      </c>
      <c r="AL125" s="28">
        <v>4825</v>
      </c>
      <c r="AM125" s="28">
        <v>985</v>
      </c>
      <c r="AN125" s="22">
        <v>285</v>
      </c>
      <c r="AO125" s="28">
        <v>307</v>
      </c>
      <c r="AP125" s="28">
        <v>538</v>
      </c>
      <c r="AQ125" s="28">
        <v>3212</v>
      </c>
      <c r="AR125" s="28">
        <v>19</v>
      </c>
      <c r="AS125" s="28">
        <v>178</v>
      </c>
      <c r="AT125" s="28">
        <v>61</v>
      </c>
      <c r="AU125" s="22">
        <v>351</v>
      </c>
      <c r="AV125" s="25">
        <v>386</v>
      </c>
      <c r="AW125" s="28">
        <v>1613</v>
      </c>
      <c r="AX125" s="28">
        <v>13</v>
      </c>
      <c r="AY125" s="22">
        <v>87</v>
      </c>
      <c r="AZ125" s="25">
        <v>16</v>
      </c>
      <c r="BA125" s="22">
        <v>12</v>
      </c>
    </row>
    <row r="126" spans="1:53" x14ac:dyDescent="0.25">
      <c r="A126" s="4" t="s">
        <v>32</v>
      </c>
      <c r="B126" s="40">
        <v>2006</v>
      </c>
      <c r="C126" s="25">
        <v>7</v>
      </c>
      <c r="D126" s="28">
        <v>9</v>
      </c>
      <c r="E126" s="77" t="s">
        <v>96</v>
      </c>
      <c r="F126" s="28">
        <v>-8.6999999999999993</v>
      </c>
      <c r="G126" s="28">
        <v>-3.5</v>
      </c>
      <c r="H126" s="22">
        <v>-5.2</v>
      </c>
      <c r="I126" s="25">
        <v>298</v>
      </c>
      <c r="J126" s="28">
        <v>4857</v>
      </c>
      <c r="K126" s="28">
        <v>918</v>
      </c>
      <c r="L126" s="22">
        <v>243</v>
      </c>
      <c r="M126" s="28">
        <v>257</v>
      </c>
      <c r="N126" s="28">
        <v>444</v>
      </c>
      <c r="O126" s="28">
        <v>2685</v>
      </c>
      <c r="P126" s="28">
        <v>16</v>
      </c>
      <c r="Q126" s="28">
        <v>132</v>
      </c>
      <c r="R126" s="28">
        <v>74.400000000000006</v>
      </c>
      <c r="S126" s="28">
        <v>36</v>
      </c>
      <c r="T126" s="22">
        <v>205</v>
      </c>
      <c r="U126" s="25">
        <v>438</v>
      </c>
      <c r="V126" s="28">
        <v>2172</v>
      </c>
      <c r="W126" s="28">
        <v>12</v>
      </c>
      <c r="X126" s="22">
        <v>97</v>
      </c>
      <c r="Y126" s="28">
        <v>16</v>
      </c>
      <c r="Z126" s="22">
        <v>16</v>
      </c>
      <c r="AA126" s="25">
        <v>28</v>
      </c>
      <c r="AB126" s="22">
        <v>237</v>
      </c>
      <c r="AC126" s="25">
        <v>79</v>
      </c>
      <c r="AD126" s="22">
        <v>1907</v>
      </c>
      <c r="AE126" s="28">
        <v>24</v>
      </c>
      <c r="AF126" s="28">
        <v>21</v>
      </c>
      <c r="AG126" s="28">
        <v>11</v>
      </c>
      <c r="AH126" s="22">
        <v>8</v>
      </c>
      <c r="AI126" s="25">
        <v>81</v>
      </c>
      <c r="AJ126" s="22">
        <v>3629</v>
      </c>
      <c r="AK126" s="25">
        <v>412</v>
      </c>
      <c r="AL126" s="28">
        <v>5507</v>
      </c>
      <c r="AM126" s="28">
        <v>1025</v>
      </c>
      <c r="AN126" s="22">
        <v>326</v>
      </c>
      <c r="AO126" s="28">
        <v>331</v>
      </c>
      <c r="AP126" s="28">
        <v>518</v>
      </c>
      <c r="AQ126" s="28">
        <v>3571</v>
      </c>
      <c r="AR126" s="28">
        <v>25</v>
      </c>
      <c r="AS126" s="28">
        <v>189</v>
      </c>
      <c r="AT126" s="28">
        <v>34</v>
      </c>
      <c r="AU126" s="22">
        <v>246</v>
      </c>
      <c r="AV126" s="25">
        <v>473</v>
      </c>
      <c r="AW126" s="28">
        <v>1936</v>
      </c>
      <c r="AX126" s="28">
        <v>18</v>
      </c>
      <c r="AY126" s="22">
        <v>107</v>
      </c>
      <c r="AZ126" s="25">
        <v>14</v>
      </c>
      <c r="BA126" s="22">
        <v>13</v>
      </c>
    </row>
    <row r="127" spans="1:53" x14ac:dyDescent="0.25">
      <c r="A127" s="4" t="s">
        <v>33</v>
      </c>
      <c r="B127" s="40">
        <v>2006</v>
      </c>
      <c r="C127" s="25">
        <v>9</v>
      </c>
      <c r="D127" s="28">
        <v>7</v>
      </c>
      <c r="E127" s="77" t="s">
        <v>97</v>
      </c>
      <c r="F127" s="28">
        <v>-3.6</v>
      </c>
      <c r="G127" s="28">
        <v>-1.6</v>
      </c>
      <c r="H127" s="22">
        <v>-1.9</v>
      </c>
      <c r="I127" s="25">
        <v>335</v>
      </c>
      <c r="J127" s="28">
        <v>4977</v>
      </c>
      <c r="K127" s="28">
        <v>1045</v>
      </c>
      <c r="L127" s="22">
        <v>312</v>
      </c>
      <c r="M127" s="28">
        <v>292</v>
      </c>
      <c r="N127" s="28">
        <v>512</v>
      </c>
      <c r="O127" s="28">
        <v>3054</v>
      </c>
      <c r="P127" s="28">
        <v>26</v>
      </c>
      <c r="Q127" s="28">
        <v>167</v>
      </c>
      <c r="R127" s="28">
        <v>76</v>
      </c>
      <c r="S127" s="28">
        <v>49</v>
      </c>
      <c r="T127" s="22">
        <v>315</v>
      </c>
      <c r="U127" s="25">
        <v>484</v>
      </c>
      <c r="V127" s="28">
        <v>1923</v>
      </c>
      <c r="W127" s="28">
        <v>8</v>
      </c>
      <c r="X127" s="22">
        <v>112</v>
      </c>
      <c r="Y127" s="28">
        <v>22</v>
      </c>
      <c r="Z127" s="22">
        <v>12</v>
      </c>
      <c r="AA127" s="25">
        <v>49</v>
      </c>
      <c r="AB127" s="22">
        <v>424</v>
      </c>
      <c r="AC127" s="25">
        <v>69</v>
      </c>
      <c r="AD127" s="22">
        <v>1548</v>
      </c>
      <c r="AE127" s="28">
        <v>17</v>
      </c>
      <c r="AF127" s="28">
        <v>15</v>
      </c>
      <c r="AG127" s="28">
        <v>14</v>
      </c>
      <c r="AH127" s="22">
        <v>10</v>
      </c>
      <c r="AI127" s="25">
        <v>86</v>
      </c>
      <c r="AJ127" s="22">
        <v>3827</v>
      </c>
      <c r="AK127" s="25">
        <v>341</v>
      </c>
      <c r="AL127" s="28">
        <v>5285</v>
      </c>
      <c r="AM127" s="28">
        <v>986</v>
      </c>
      <c r="AN127" s="22">
        <v>277</v>
      </c>
      <c r="AO127" s="28">
        <v>299</v>
      </c>
      <c r="AP127" s="28">
        <v>504</v>
      </c>
      <c r="AQ127" s="28">
        <v>3256</v>
      </c>
      <c r="AR127" s="28">
        <v>23</v>
      </c>
      <c r="AS127" s="28">
        <v>160</v>
      </c>
      <c r="AT127" s="28">
        <v>41</v>
      </c>
      <c r="AU127" s="22">
        <v>282</v>
      </c>
      <c r="AV127" s="25">
        <v>441</v>
      </c>
      <c r="AW127" s="28">
        <v>2029</v>
      </c>
      <c r="AX127" s="28">
        <v>12</v>
      </c>
      <c r="AY127" s="22">
        <v>102</v>
      </c>
      <c r="AZ127" s="25">
        <v>12</v>
      </c>
      <c r="BA127" s="22">
        <v>14</v>
      </c>
    </row>
    <row r="128" spans="1:53" x14ac:dyDescent="0.25">
      <c r="A128" s="4" t="s">
        <v>34</v>
      </c>
      <c r="B128" s="40">
        <v>2006</v>
      </c>
      <c r="C128" s="25">
        <v>8</v>
      </c>
      <c r="D128" s="28">
        <v>8</v>
      </c>
      <c r="E128" s="77" t="s">
        <v>96</v>
      </c>
      <c r="F128" s="28">
        <v>-4</v>
      </c>
      <c r="G128" s="28">
        <v>0.8</v>
      </c>
      <c r="H128" s="22">
        <v>-4.7</v>
      </c>
      <c r="I128" s="25">
        <v>367</v>
      </c>
      <c r="J128" s="28">
        <v>5767</v>
      </c>
      <c r="K128" s="28">
        <v>1065</v>
      </c>
      <c r="L128" s="22">
        <v>332</v>
      </c>
      <c r="M128" s="28">
        <v>371</v>
      </c>
      <c r="N128" s="28">
        <v>592</v>
      </c>
      <c r="O128" s="28">
        <v>3962</v>
      </c>
      <c r="P128" s="28">
        <v>24</v>
      </c>
      <c r="Q128" s="28">
        <v>212</v>
      </c>
      <c r="R128" s="28">
        <v>92.7</v>
      </c>
      <c r="S128" s="28">
        <v>49</v>
      </c>
      <c r="T128" s="22">
        <v>366</v>
      </c>
      <c r="U128" s="25">
        <v>424</v>
      </c>
      <c r="V128" s="28">
        <v>1805</v>
      </c>
      <c r="W128" s="28">
        <v>13</v>
      </c>
      <c r="X128" s="22">
        <v>94</v>
      </c>
      <c r="Y128" s="28">
        <v>8</v>
      </c>
      <c r="Z128" s="22">
        <v>10</v>
      </c>
      <c r="AA128" s="25">
        <v>30</v>
      </c>
      <c r="AB128" s="22">
        <v>234</v>
      </c>
      <c r="AC128" s="25">
        <v>65</v>
      </c>
      <c r="AD128" s="22">
        <v>1383</v>
      </c>
      <c r="AE128" s="28">
        <v>18</v>
      </c>
      <c r="AF128" s="28">
        <v>18</v>
      </c>
      <c r="AG128" s="28">
        <v>19</v>
      </c>
      <c r="AH128" s="22">
        <v>14</v>
      </c>
      <c r="AI128" s="25">
        <v>76</v>
      </c>
      <c r="AJ128" s="22">
        <v>3222</v>
      </c>
      <c r="AK128" s="25">
        <v>381</v>
      </c>
      <c r="AL128" s="28">
        <v>5362</v>
      </c>
      <c r="AM128" s="28">
        <v>962</v>
      </c>
      <c r="AN128" s="22">
        <v>313</v>
      </c>
      <c r="AO128" s="28">
        <v>266</v>
      </c>
      <c r="AP128" s="28">
        <v>451</v>
      </c>
      <c r="AQ128" s="28">
        <v>3035</v>
      </c>
      <c r="AR128" s="28">
        <v>21</v>
      </c>
      <c r="AS128" s="28">
        <v>164</v>
      </c>
      <c r="AT128" s="28">
        <v>34</v>
      </c>
      <c r="AU128" s="22">
        <v>214</v>
      </c>
      <c r="AV128" s="25">
        <v>477</v>
      </c>
      <c r="AW128" s="28">
        <v>2327</v>
      </c>
      <c r="AX128" s="28">
        <v>21</v>
      </c>
      <c r="AY128" s="22">
        <v>121</v>
      </c>
      <c r="AZ128" s="25">
        <v>17</v>
      </c>
      <c r="BA128" s="22">
        <v>15</v>
      </c>
    </row>
    <row r="129" spans="1:53" x14ac:dyDescent="0.25">
      <c r="A129" s="4" t="s">
        <v>30</v>
      </c>
      <c r="B129" s="40">
        <v>2006</v>
      </c>
      <c r="C129" s="25">
        <v>4</v>
      </c>
      <c r="D129" s="28">
        <v>12</v>
      </c>
      <c r="E129" s="77" t="s">
        <v>96</v>
      </c>
      <c r="F129" s="28">
        <v>-7.9</v>
      </c>
      <c r="G129" s="28">
        <v>-7.2</v>
      </c>
      <c r="H129" s="22">
        <v>-0.8</v>
      </c>
      <c r="I129" s="25">
        <v>211</v>
      </c>
      <c r="J129" s="28">
        <v>4321</v>
      </c>
      <c r="K129" s="28">
        <v>972</v>
      </c>
      <c r="L129" s="22">
        <v>237</v>
      </c>
      <c r="M129" s="28">
        <v>296</v>
      </c>
      <c r="N129" s="28">
        <v>535</v>
      </c>
      <c r="O129" s="28">
        <v>2798</v>
      </c>
      <c r="P129" s="28">
        <v>14</v>
      </c>
      <c r="Q129" s="28">
        <v>133</v>
      </c>
      <c r="R129" s="28">
        <v>66.2</v>
      </c>
      <c r="S129" s="28">
        <v>33</v>
      </c>
      <c r="T129" s="22">
        <v>196</v>
      </c>
      <c r="U129" s="25">
        <v>404</v>
      </c>
      <c r="V129" s="28">
        <v>1523</v>
      </c>
      <c r="W129" s="28">
        <v>6</v>
      </c>
      <c r="X129" s="22">
        <v>82</v>
      </c>
      <c r="Y129" s="28">
        <v>18</v>
      </c>
      <c r="Z129" s="22">
        <v>14</v>
      </c>
      <c r="AA129" s="25">
        <v>54</v>
      </c>
      <c r="AB129" s="22">
        <v>353</v>
      </c>
      <c r="AC129" s="25">
        <v>61</v>
      </c>
      <c r="AD129" s="22">
        <v>1307</v>
      </c>
      <c r="AE129" s="28">
        <v>11</v>
      </c>
      <c r="AF129" s="28">
        <v>11</v>
      </c>
      <c r="AG129" s="28">
        <v>11</v>
      </c>
      <c r="AH129" s="22">
        <v>6</v>
      </c>
      <c r="AI129" s="25">
        <v>93</v>
      </c>
      <c r="AJ129" s="22">
        <v>4046</v>
      </c>
      <c r="AK129" s="25">
        <v>353</v>
      </c>
      <c r="AL129" s="28">
        <v>5271</v>
      </c>
      <c r="AM129" s="28">
        <v>1015</v>
      </c>
      <c r="AN129" s="22">
        <v>300</v>
      </c>
      <c r="AO129" s="28">
        <v>301</v>
      </c>
      <c r="AP129" s="28">
        <v>493</v>
      </c>
      <c r="AQ129" s="28">
        <v>3354</v>
      </c>
      <c r="AR129" s="28">
        <v>26</v>
      </c>
      <c r="AS129" s="28">
        <v>174</v>
      </c>
      <c r="AT129" s="28">
        <v>25</v>
      </c>
      <c r="AU129" s="22">
        <v>166</v>
      </c>
      <c r="AV129" s="25">
        <v>497</v>
      </c>
      <c r="AW129" s="28">
        <v>1917</v>
      </c>
      <c r="AX129" s="28">
        <v>11</v>
      </c>
      <c r="AY129" s="22">
        <v>108</v>
      </c>
      <c r="AZ129" s="25">
        <v>11</v>
      </c>
      <c r="BA129" s="22">
        <v>9</v>
      </c>
    </row>
    <row r="130" spans="1:53" x14ac:dyDescent="0.25">
      <c r="A130" s="4" t="s">
        <v>13</v>
      </c>
      <c r="B130" s="40">
        <v>2006</v>
      </c>
      <c r="C130" s="25">
        <v>8</v>
      </c>
      <c r="D130" s="28">
        <v>8</v>
      </c>
      <c r="E130" s="77" t="s">
        <v>96</v>
      </c>
      <c r="F130" s="28">
        <v>-1.3</v>
      </c>
      <c r="G130" s="28">
        <v>1</v>
      </c>
      <c r="H130" s="22">
        <v>-2.2999999999999998</v>
      </c>
      <c r="I130" s="25">
        <v>324</v>
      </c>
      <c r="J130" s="28">
        <v>4810</v>
      </c>
      <c r="K130" s="28">
        <v>945</v>
      </c>
      <c r="L130" s="22">
        <v>261</v>
      </c>
      <c r="M130" s="28">
        <v>226</v>
      </c>
      <c r="N130" s="28">
        <v>447</v>
      </c>
      <c r="O130" s="28">
        <v>2596</v>
      </c>
      <c r="P130" s="28">
        <v>13</v>
      </c>
      <c r="Q130" s="28">
        <v>133</v>
      </c>
      <c r="R130" s="28">
        <v>61.8</v>
      </c>
      <c r="S130" s="28">
        <v>29</v>
      </c>
      <c r="T130" s="22">
        <v>152</v>
      </c>
      <c r="U130" s="25">
        <v>469</v>
      </c>
      <c r="V130" s="28">
        <v>2214</v>
      </c>
      <c r="W130" s="28">
        <v>15</v>
      </c>
      <c r="X130" s="22">
        <v>105</v>
      </c>
      <c r="Y130" s="28">
        <v>19</v>
      </c>
      <c r="Z130" s="22">
        <v>7</v>
      </c>
      <c r="AA130" s="25">
        <v>37</v>
      </c>
      <c r="AB130" s="22">
        <v>467</v>
      </c>
      <c r="AC130" s="25">
        <v>79</v>
      </c>
      <c r="AD130" s="22">
        <v>1835</v>
      </c>
      <c r="AE130" s="28">
        <v>18</v>
      </c>
      <c r="AF130" s="28">
        <v>17</v>
      </c>
      <c r="AG130" s="28">
        <v>10</v>
      </c>
      <c r="AH130" s="22">
        <v>5</v>
      </c>
      <c r="AI130" s="25">
        <v>88</v>
      </c>
      <c r="AJ130" s="22">
        <v>3758</v>
      </c>
      <c r="AK130" s="25">
        <v>400</v>
      </c>
      <c r="AL130" s="28">
        <v>5915</v>
      </c>
      <c r="AM130" s="28">
        <v>1062</v>
      </c>
      <c r="AN130" s="22">
        <v>329</v>
      </c>
      <c r="AO130" s="28">
        <v>335</v>
      </c>
      <c r="AP130" s="28">
        <v>530</v>
      </c>
      <c r="AQ130" s="28">
        <v>3602</v>
      </c>
      <c r="AR130" s="28">
        <v>24</v>
      </c>
      <c r="AS130" s="28">
        <v>181</v>
      </c>
      <c r="AT130" s="28">
        <v>26</v>
      </c>
      <c r="AU130" s="22">
        <v>148</v>
      </c>
      <c r="AV130" s="25">
        <v>506</v>
      </c>
      <c r="AW130" s="28">
        <v>2313</v>
      </c>
      <c r="AX130" s="28">
        <v>20</v>
      </c>
      <c r="AY130" s="22">
        <v>121</v>
      </c>
      <c r="AZ130" s="25">
        <v>17</v>
      </c>
      <c r="BA130" s="22">
        <v>11</v>
      </c>
    </row>
    <row r="131" spans="1:53" ht="15.75" thickBot="1" x14ac:dyDescent="0.3">
      <c r="A131" s="6" t="s">
        <v>22</v>
      </c>
      <c r="B131" s="41">
        <v>2006</v>
      </c>
      <c r="C131" s="26">
        <v>5</v>
      </c>
      <c r="D131" s="29">
        <v>11</v>
      </c>
      <c r="E131" s="78" t="s">
        <v>96</v>
      </c>
      <c r="F131" s="29">
        <v>-4</v>
      </c>
      <c r="G131" s="29">
        <v>-2.1</v>
      </c>
      <c r="H131" s="23">
        <v>-2</v>
      </c>
      <c r="I131" s="26">
        <v>307</v>
      </c>
      <c r="J131" s="29">
        <v>5243</v>
      </c>
      <c r="K131" s="29">
        <v>979</v>
      </c>
      <c r="L131" s="23">
        <v>295</v>
      </c>
      <c r="M131" s="29">
        <v>274</v>
      </c>
      <c r="N131" s="29">
        <v>470</v>
      </c>
      <c r="O131" s="29">
        <v>3027</v>
      </c>
      <c r="P131" s="29">
        <v>19</v>
      </c>
      <c r="Q131" s="29">
        <v>150</v>
      </c>
      <c r="R131" s="29">
        <v>83.4</v>
      </c>
      <c r="S131" s="29">
        <v>19</v>
      </c>
      <c r="T131" s="23">
        <v>147</v>
      </c>
      <c r="U131" s="26">
        <v>490</v>
      </c>
      <c r="V131" s="29">
        <v>2216</v>
      </c>
      <c r="W131" s="29">
        <v>13</v>
      </c>
      <c r="X131" s="23">
        <v>123</v>
      </c>
      <c r="Y131" s="29">
        <v>10</v>
      </c>
      <c r="Z131" s="23">
        <v>7</v>
      </c>
      <c r="AA131" s="26">
        <v>39</v>
      </c>
      <c r="AB131" s="23">
        <v>342</v>
      </c>
      <c r="AC131" s="26">
        <v>73</v>
      </c>
      <c r="AD131" s="23">
        <v>1631</v>
      </c>
      <c r="AE131" s="29">
        <v>17</v>
      </c>
      <c r="AF131" s="29">
        <v>15</v>
      </c>
      <c r="AG131" s="29">
        <v>13</v>
      </c>
      <c r="AH131" s="23">
        <v>7</v>
      </c>
      <c r="AI131" s="26">
        <v>82</v>
      </c>
      <c r="AJ131" s="23">
        <v>3469</v>
      </c>
      <c r="AK131" s="26">
        <v>376</v>
      </c>
      <c r="AL131" s="29">
        <v>5688</v>
      </c>
      <c r="AM131" s="29">
        <v>997</v>
      </c>
      <c r="AN131" s="23">
        <v>301</v>
      </c>
      <c r="AO131" s="29">
        <v>289</v>
      </c>
      <c r="AP131" s="29">
        <v>486</v>
      </c>
      <c r="AQ131" s="29">
        <v>3491</v>
      </c>
      <c r="AR131" s="29">
        <v>30</v>
      </c>
      <c r="AS131" s="29">
        <v>169</v>
      </c>
      <c r="AT131" s="29">
        <v>19</v>
      </c>
      <c r="AU131" s="23">
        <v>95</v>
      </c>
      <c r="AV131" s="26">
        <v>492</v>
      </c>
      <c r="AW131" s="29">
        <v>2197</v>
      </c>
      <c r="AX131" s="29">
        <v>9</v>
      </c>
      <c r="AY131" s="23">
        <v>104</v>
      </c>
      <c r="AZ131" s="26">
        <v>6</v>
      </c>
      <c r="BA131" s="23">
        <v>6</v>
      </c>
    </row>
    <row r="132" spans="1:53" x14ac:dyDescent="0.25">
      <c r="A132" s="11" t="s">
        <v>31</v>
      </c>
      <c r="B132" s="39">
        <v>2005</v>
      </c>
      <c r="C132" s="24">
        <v>5</v>
      </c>
      <c r="D132" s="27">
        <v>11</v>
      </c>
      <c r="E132" s="76" t="s">
        <v>96</v>
      </c>
      <c r="F132" s="27">
        <v>-5</v>
      </c>
      <c r="G132" s="27">
        <v>-2</v>
      </c>
      <c r="H132" s="21">
        <v>-3</v>
      </c>
      <c r="I132" s="24">
        <v>311</v>
      </c>
      <c r="J132" s="27">
        <v>5575</v>
      </c>
      <c r="K132" s="27">
        <v>1075</v>
      </c>
      <c r="L132" s="21">
        <v>304</v>
      </c>
      <c r="M132" s="27">
        <v>419</v>
      </c>
      <c r="N132" s="27">
        <v>670</v>
      </c>
      <c r="O132" s="27">
        <v>4437</v>
      </c>
      <c r="P132" s="27">
        <v>21</v>
      </c>
      <c r="Q132" s="27">
        <v>224</v>
      </c>
      <c r="R132" s="27">
        <v>81</v>
      </c>
      <c r="S132" s="27">
        <v>45</v>
      </c>
      <c r="T132" s="21">
        <v>286</v>
      </c>
      <c r="U132" s="24">
        <v>360</v>
      </c>
      <c r="V132" s="27">
        <v>1138</v>
      </c>
      <c r="W132" s="27">
        <v>2</v>
      </c>
      <c r="X132" s="21">
        <v>58</v>
      </c>
      <c r="Y132" s="30">
        <v>21</v>
      </c>
      <c r="Z132" s="30">
        <v>16</v>
      </c>
      <c r="AA132" s="24">
        <v>50</v>
      </c>
      <c r="AB132" s="21">
        <v>383</v>
      </c>
      <c r="AC132" s="24">
        <v>76</v>
      </c>
      <c r="AD132" s="21">
        <v>1719</v>
      </c>
      <c r="AE132" s="27">
        <v>24</v>
      </c>
      <c r="AF132" s="27">
        <v>24</v>
      </c>
      <c r="AG132" s="27">
        <v>21</v>
      </c>
      <c r="AH132" s="21">
        <v>19</v>
      </c>
      <c r="AI132" s="24">
        <v>74</v>
      </c>
      <c r="AJ132" s="21">
        <v>3204</v>
      </c>
      <c r="AK132" s="24">
        <v>387</v>
      </c>
      <c r="AL132" s="27">
        <v>4729</v>
      </c>
      <c r="AM132" s="27">
        <v>936</v>
      </c>
      <c r="AN132" s="21">
        <v>272</v>
      </c>
      <c r="AO132" s="27">
        <v>301</v>
      </c>
      <c r="AP132" s="27">
        <v>488</v>
      </c>
      <c r="AQ132" s="27">
        <v>3097</v>
      </c>
      <c r="AR132" s="27">
        <v>17</v>
      </c>
      <c r="AS132" s="27">
        <v>158</v>
      </c>
      <c r="AT132" s="27">
        <v>37</v>
      </c>
      <c r="AU132" s="21">
        <v>217</v>
      </c>
      <c r="AV132" s="24">
        <v>411</v>
      </c>
      <c r="AW132" s="27">
        <v>1632</v>
      </c>
      <c r="AX132" s="27">
        <v>22</v>
      </c>
      <c r="AY132" s="21">
        <v>83</v>
      </c>
      <c r="AZ132" s="24">
        <v>15</v>
      </c>
      <c r="BA132" s="21">
        <v>11</v>
      </c>
    </row>
    <row r="133" spans="1:53" x14ac:dyDescent="0.25">
      <c r="A133" s="4" t="s">
        <v>28</v>
      </c>
      <c r="B133" s="40">
        <v>2005</v>
      </c>
      <c r="C133" s="25">
        <v>8</v>
      </c>
      <c r="D133" s="28">
        <v>8</v>
      </c>
      <c r="E133" s="77" t="s">
        <v>96</v>
      </c>
      <c r="F133" s="28">
        <v>-1.2</v>
      </c>
      <c r="G133" s="28">
        <v>1.1000000000000001</v>
      </c>
      <c r="H133" s="22">
        <v>-2.2999999999999998</v>
      </c>
      <c r="I133" s="25">
        <v>351</v>
      </c>
      <c r="J133" s="28">
        <v>5225</v>
      </c>
      <c r="K133" s="28">
        <v>1021</v>
      </c>
      <c r="L133" s="22">
        <v>313</v>
      </c>
      <c r="M133" s="28">
        <v>247</v>
      </c>
      <c r="N133" s="28">
        <v>451</v>
      </c>
      <c r="O133" s="28">
        <v>2679</v>
      </c>
      <c r="P133" s="28">
        <v>19</v>
      </c>
      <c r="Q133" s="28">
        <v>149</v>
      </c>
      <c r="R133" s="28">
        <v>76.599999999999994</v>
      </c>
      <c r="S133" s="28">
        <v>39</v>
      </c>
      <c r="T133" s="22">
        <v>228</v>
      </c>
      <c r="U133" s="25">
        <v>531</v>
      </c>
      <c r="V133" s="28">
        <v>2546</v>
      </c>
      <c r="W133" s="28">
        <v>17</v>
      </c>
      <c r="X133" s="22">
        <v>139</v>
      </c>
      <c r="Y133" s="30">
        <v>13</v>
      </c>
      <c r="Z133" s="30">
        <v>16</v>
      </c>
      <c r="AA133" s="25">
        <v>31</v>
      </c>
      <c r="AB133" s="22">
        <v>261</v>
      </c>
      <c r="AC133" s="25">
        <v>70</v>
      </c>
      <c r="AD133" s="22">
        <v>1482</v>
      </c>
      <c r="AE133" s="28">
        <v>21</v>
      </c>
      <c r="AF133" s="28">
        <v>20</v>
      </c>
      <c r="AG133" s="28">
        <v>6</v>
      </c>
      <c r="AH133" s="22">
        <v>4</v>
      </c>
      <c r="AI133" s="25">
        <v>78</v>
      </c>
      <c r="AJ133" s="22">
        <v>3299</v>
      </c>
      <c r="AK133" s="25">
        <v>341</v>
      </c>
      <c r="AL133" s="28">
        <v>5200</v>
      </c>
      <c r="AM133" s="28">
        <v>1001</v>
      </c>
      <c r="AN133" s="22">
        <v>319</v>
      </c>
      <c r="AO133" s="28">
        <v>320</v>
      </c>
      <c r="AP133" s="28">
        <v>526</v>
      </c>
      <c r="AQ133" s="28">
        <v>3137</v>
      </c>
      <c r="AR133" s="28">
        <v>18</v>
      </c>
      <c r="AS133" s="28">
        <v>167</v>
      </c>
      <c r="AT133" s="28">
        <v>37</v>
      </c>
      <c r="AU133" s="22">
        <v>257</v>
      </c>
      <c r="AV133" s="25">
        <v>438</v>
      </c>
      <c r="AW133" s="28">
        <v>2063</v>
      </c>
      <c r="AX133" s="28">
        <v>18</v>
      </c>
      <c r="AY133" s="22">
        <v>122</v>
      </c>
      <c r="AZ133" s="25">
        <v>16</v>
      </c>
      <c r="BA133" s="22">
        <v>13</v>
      </c>
    </row>
    <row r="134" spans="1:53" x14ac:dyDescent="0.25">
      <c r="A134" s="4" t="s">
        <v>8</v>
      </c>
      <c r="B134" s="40">
        <v>2005</v>
      </c>
      <c r="C134" s="25">
        <v>6</v>
      </c>
      <c r="D134" s="28">
        <v>10</v>
      </c>
      <c r="E134" s="77" t="s">
        <v>96</v>
      </c>
      <c r="F134" s="28">
        <v>-1.8</v>
      </c>
      <c r="G134" s="28">
        <v>-3.5</v>
      </c>
      <c r="H134" s="22">
        <v>1.7</v>
      </c>
      <c r="I134" s="25">
        <v>265</v>
      </c>
      <c r="J134" s="28">
        <v>4693</v>
      </c>
      <c r="K134" s="28">
        <v>1056</v>
      </c>
      <c r="L134" s="22">
        <v>286</v>
      </c>
      <c r="M134" s="28">
        <v>335</v>
      </c>
      <c r="N134" s="28">
        <v>562</v>
      </c>
      <c r="O134" s="28">
        <v>3088</v>
      </c>
      <c r="P134" s="28">
        <v>17</v>
      </c>
      <c r="Q134" s="28">
        <v>163</v>
      </c>
      <c r="R134" s="28">
        <v>71.3</v>
      </c>
      <c r="S134" s="28">
        <v>42</v>
      </c>
      <c r="T134" s="22">
        <v>293</v>
      </c>
      <c r="U134" s="25">
        <v>452</v>
      </c>
      <c r="V134" s="28">
        <v>1605</v>
      </c>
      <c r="W134" s="28">
        <v>5</v>
      </c>
      <c r="X134" s="22">
        <v>97</v>
      </c>
      <c r="Y134" s="30">
        <v>21</v>
      </c>
      <c r="Z134" s="30">
        <v>15</v>
      </c>
      <c r="AA134" s="25">
        <v>39</v>
      </c>
      <c r="AB134" s="22">
        <v>431</v>
      </c>
      <c r="AC134" s="25">
        <v>60</v>
      </c>
      <c r="AD134" s="22">
        <v>1289</v>
      </c>
      <c r="AE134" s="28">
        <v>20</v>
      </c>
      <c r="AF134" s="28">
        <v>19</v>
      </c>
      <c r="AG134" s="28">
        <v>15</v>
      </c>
      <c r="AH134" s="22">
        <v>11</v>
      </c>
      <c r="AI134" s="25">
        <v>86</v>
      </c>
      <c r="AJ134" s="22">
        <v>3681</v>
      </c>
      <c r="AK134" s="25">
        <v>299</v>
      </c>
      <c r="AL134" s="28">
        <v>4549</v>
      </c>
      <c r="AM134" s="28">
        <v>998</v>
      </c>
      <c r="AN134" s="22">
        <v>277</v>
      </c>
      <c r="AO134" s="28">
        <v>296</v>
      </c>
      <c r="AP134" s="28">
        <v>525</v>
      </c>
      <c r="AQ134" s="28">
        <v>2958</v>
      </c>
      <c r="AR134" s="28">
        <v>18</v>
      </c>
      <c r="AS134" s="28">
        <v>161</v>
      </c>
      <c r="AT134" s="28">
        <v>42</v>
      </c>
      <c r="AU134" s="22">
        <v>270</v>
      </c>
      <c r="AV134" s="25">
        <v>431</v>
      </c>
      <c r="AW134" s="28">
        <v>1591</v>
      </c>
      <c r="AX134" s="28">
        <v>8</v>
      </c>
      <c r="AY134" s="22">
        <v>79</v>
      </c>
      <c r="AZ134" s="25">
        <v>11</v>
      </c>
      <c r="BA134" s="22">
        <v>15</v>
      </c>
    </row>
    <row r="135" spans="1:53" x14ac:dyDescent="0.25">
      <c r="A135" s="4" t="s">
        <v>6</v>
      </c>
      <c r="B135" s="40">
        <v>2005</v>
      </c>
      <c r="C135" s="25">
        <v>5</v>
      </c>
      <c r="D135" s="28">
        <v>11</v>
      </c>
      <c r="E135" s="77" t="s">
        <v>96</v>
      </c>
      <c r="F135" s="28">
        <v>-5.8</v>
      </c>
      <c r="G135" s="28">
        <v>-4</v>
      </c>
      <c r="H135" s="22">
        <v>-1.8</v>
      </c>
      <c r="I135" s="25">
        <v>271</v>
      </c>
      <c r="J135" s="28">
        <v>4122</v>
      </c>
      <c r="K135" s="28">
        <v>930</v>
      </c>
      <c r="L135" s="22">
        <v>259</v>
      </c>
      <c r="M135" s="28">
        <v>269</v>
      </c>
      <c r="N135" s="28">
        <v>459</v>
      </c>
      <c r="O135" s="28">
        <v>2515</v>
      </c>
      <c r="P135" s="28">
        <v>18</v>
      </c>
      <c r="Q135" s="28">
        <v>129</v>
      </c>
      <c r="R135" s="28">
        <v>75.400000000000006</v>
      </c>
      <c r="S135" s="28">
        <v>43</v>
      </c>
      <c r="T135" s="22">
        <v>337</v>
      </c>
      <c r="U135" s="25">
        <v>428</v>
      </c>
      <c r="V135" s="28">
        <v>1607</v>
      </c>
      <c r="W135" s="28">
        <v>6</v>
      </c>
      <c r="X135" s="22">
        <v>96</v>
      </c>
      <c r="Y135" s="30">
        <v>16</v>
      </c>
      <c r="Z135" s="30">
        <v>10</v>
      </c>
      <c r="AA135" s="25">
        <v>28</v>
      </c>
      <c r="AB135" s="22">
        <v>279</v>
      </c>
      <c r="AC135" s="25">
        <v>75</v>
      </c>
      <c r="AD135" s="22">
        <v>1992</v>
      </c>
      <c r="AE135" s="28">
        <v>22</v>
      </c>
      <c r="AF135" s="28">
        <v>19</v>
      </c>
      <c r="AG135" s="28">
        <v>13</v>
      </c>
      <c r="AH135" s="22">
        <v>10</v>
      </c>
      <c r="AI135" s="25">
        <v>71</v>
      </c>
      <c r="AJ135" s="22">
        <v>3245</v>
      </c>
      <c r="AK135" s="25">
        <v>367</v>
      </c>
      <c r="AL135" s="28">
        <v>5496</v>
      </c>
      <c r="AM135" s="28">
        <v>1030</v>
      </c>
      <c r="AN135" s="22">
        <v>343</v>
      </c>
      <c r="AO135" s="28">
        <v>314</v>
      </c>
      <c r="AP135" s="28">
        <v>503</v>
      </c>
      <c r="AQ135" s="28">
        <v>3291</v>
      </c>
      <c r="AR135" s="28">
        <v>19</v>
      </c>
      <c r="AS135" s="28">
        <v>169</v>
      </c>
      <c r="AT135" s="28">
        <v>38</v>
      </c>
      <c r="AU135" s="22">
        <v>269</v>
      </c>
      <c r="AV135" s="25">
        <v>489</v>
      </c>
      <c r="AW135" s="28">
        <v>2205</v>
      </c>
      <c r="AX135" s="28">
        <v>22</v>
      </c>
      <c r="AY135" s="22">
        <v>146</v>
      </c>
      <c r="AZ135" s="25">
        <v>17</v>
      </c>
      <c r="BA135" s="22">
        <v>13</v>
      </c>
    </row>
    <row r="136" spans="1:53" x14ac:dyDescent="0.25">
      <c r="A136" s="4" t="s">
        <v>29</v>
      </c>
      <c r="B136" s="40">
        <v>2005</v>
      </c>
      <c r="C136" s="25">
        <v>11</v>
      </c>
      <c r="D136" s="28">
        <v>5</v>
      </c>
      <c r="E136" s="77" t="s">
        <v>97</v>
      </c>
      <c r="F136" s="28">
        <v>5.0999999999999996</v>
      </c>
      <c r="G136" s="28">
        <v>3</v>
      </c>
      <c r="H136" s="22">
        <v>2.1</v>
      </c>
      <c r="I136" s="25">
        <v>391</v>
      </c>
      <c r="J136" s="28">
        <v>4950</v>
      </c>
      <c r="K136" s="28">
        <v>964</v>
      </c>
      <c r="L136" s="22">
        <v>278</v>
      </c>
      <c r="M136" s="28">
        <v>269</v>
      </c>
      <c r="N136" s="28">
        <v>449</v>
      </c>
      <c r="O136" s="28">
        <v>3271</v>
      </c>
      <c r="P136" s="28">
        <v>25</v>
      </c>
      <c r="Q136" s="28">
        <v>157</v>
      </c>
      <c r="R136" s="28">
        <v>88.1</v>
      </c>
      <c r="S136" s="28">
        <v>28</v>
      </c>
      <c r="T136" s="22">
        <v>214</v>
      </c>
      <c r="U136" s="25">
        <v>487</v>
      </c>
      <c r="V136" s="28">
        <v>1679</v>
      </c>
      <c r="W136" s="28">
        <v>17</v>
      </c>
      <c r="X136" s="22">
        <v>82</v>
      </c>
      <c r="Y136" s="30">
        <v>16</v>
      </c>
      <c r="Z136" s="30">
        <v>10</v>
      </c>
      <c r="AA136" s="25">
        <v>41</v>
      </c>
      <c r="AB136" s="22">
        <v>444</v>
      </c>
      <c r="AC136" s="25">
        <v>53</v>
      </c>
      <c r="AD136" s="22">
        <v>1083</v>
      </c>
      <c r="AE136" s="28">
        <v>17</v>
      </c>
      <c r="AF136" s="28">
        <v>17</v>
      </c>
      <c r="AG136" s="28">
        <v>17</v>
      </c>
      <c r="AH136" s="22">
        <v>9</v>
      </c>
      <c r="AI136" s="25">
        <v>73</v>
      </c>
      <c r="AJ136" s="22">
        <v>3154</v>
      </c>
      <c r="AK136" s="25">
        <v>259</v>
      </c>
      <c r="AL136" s="28">
        <v>4522</v>
      </c>
      <c r="AM136" s="28">
        <v>981</v>
      </c>
      <c r="AN136" s="22">
        <v>262</v>
      </c>
      <c r="AO136" s="28">
        <v>305</v>
      </c>
      <c r="AP136" s="28">
        <v>528</v>
      </c>
      <c r="AQ136" s="28">
        <v>3057</v>
      </c>
      <c r="AR136" s="28">
        <v>15</v>
      </c>
      <c r="AS136" s="28">
        <v>160</v>
      </c>
      <c r="AT136" s="28">
        <v>45</v>
      </c>
      <c r="AU136" s="22">
        <v>294</v>
      </c>
      <c r="AV136" s="25">
        <v>408</v>
      </c>
      <c r="AW136" s="28">
        <v>1465</v>
      </c>
      <c r="AX136" s="28">
        <v>9</v>
      </c>
      <c r="AY136" s="22">
        <v>72</v>
      </c>
      <c r="AZ136" s="25">
        <v>23</v>
      </c>
      <c r="BA136" s="22">
        <v>19</v>
      </c>
    </row>
    <row r="137" spans="1:53" x14ac:dyDescent="0.25">
      <c r="A137" s="4" t="s">
        <v>25</v>
      </c>
      <c r="B137" s="40">
        <v>2005</v>
      </c>
      <c r="C137" s="25">
        <v>11</v>
      </c>
      <c r="D137" s="28">
        <v>5</v>
      </c>
      <c r="E137" s="77" t="s">
        <v>97</v>
      </c>
      <c r="F137" s="28">
        <v>1.4</v>
      </c>
      <c r="G137" s="28">
        <v>-5.2</v>
      </c>
      <c r="H137" s="22">
        <v>6.6</v>
      </c>
      <c r="I137" s="25">
        <v>260</v>
      </c>
      <c r="J137" s="28">
        <v>4101</v>
      </c>
      <c r="K137" s="28">
        <v>937</v>
      </c>
      <c r="L137" s="22">
        <v>233</v>
      </c>
      <c r="M137" s="28">
        <v>219</v>
      </c>
      <c r="N137" s="28">
        <v>418</v>
      </c>
      <c r="O137" s="28">
        <v>2002</v>
      </c>
      <c r="P137" s="28">
        <v>11</v>
      </c>
      <c r="Q137" s="28">
        <v>111</v>
      </c>
      <c r="R137" s="28">
        <v>61.5</v>
      </c>
      <c r="S137" s="28">
        <v>31</v>
      </c>
      <c r="T137" s="22">
        <v>199</v>
      </c>
      <c r="U137" s="25">
        <v>488</v>
      </c>
      <c r="V137" s="28">
        <v>2099</v>
      </c>
      <c r="W137" s="28">
        <v>11</v>
      </c>
      <c r="X137" s="22">
        <v>99</v>
      </c>
      <c r="Y137" s="30">
        <v>15</v>
      </c>
      <c r="Z137" s="30">
        <v>13</v>
      </c>
      <c r="AA137" s="25">
        <v>46</v>
      </c>
      <c r="AB137" s="22">
        <v>417</v>
      </c>
      <c r="AC137" s="25">
        <v>55</v>
      </c>
      <c r="AD137" s="22">
        <v>1092</v>
      </c>
      <c r="AE137" s="28">
        <v>21</v>
      </c>
      <c r="AF137" s="28">
        <v>18</v>
      </c>
      <c r="AG137" s="28">
        <v>10</v>
      </c>
      <c r="AH137" s="22">
        <v>4</v>
      </c>
      <c r="AI137" s="25">
        <v>98</v>
      </c>
      <c r="AJ137" s="22">
        <v>3969</v>
      </c>
      <c r="AK137" s="25">
        <v>202</v>
      </c>
      <c r="AL137" s="28">
        <v>4509</v>
      </c>
      <c r="AM137" s="28">
        <v>1034</v>
      </c>
      <c r="AN137" s="22">
        <v>259</v>
      </c>
      <c r="AO137" s="28">
        <v>313</v>
      </c>
      <c r="AP137" s="28">
        <v>550</v>
      </c>
      <c r="AQ137" s="28">
        <v>2872</v>
      </c>
      <c r="AR137" s="28">
        <v>10</v>
      </c>
      <c r="AS137" s="28">
        <v>153</v>
      </c>
      <c r="AT137" s="28">
        <v>41</v>
      </c>
      <c r="AU137" s="22">
        <v>275</v>
      </c>
      <c r="AV137" s="25">
        <v>443</v>
      </c>
      <c r="AW137" s="28">
        <v>1637</v>
      </c>
      <c r="AX137" s="28">
        <v>9</v>
      </c>
      <c r="AY137" s="22">
        <v>83</v>
      </c>
      <c r="AZ137" s="25">
        <v>24</v>
      </c>
      <c r="BA137" s="22">
        <v>10</v>
      </c>
    </row>
    <row r="138" spans="1:53" x14ac:dyDescent="0.25">
      <c r="A138" s="4" t="s">
        <v>7</v>
      </c>
      <c r="B138" s="40">
        <v>2005</v>
      </c>
      <c r="C138" s="25">
        <v>11</v>
      </c>
      <c r="D138" s="28">
        <v>5</v>
      </c>
      <c r="E138" s="77" t="s">
        <v>97</v>
      </c>
      <c r="F138" s="28">
        <v>3.8</v>
      </c>
      <c r="G138" s="28">
        <v>6.5</v>
      </c>
      <c r="H138" s="22">
        <v>-2.7</v>
      </c>
      <c r="I138" s="25">
        <v>421</v>
      </c>
      <c r="J138" s="28">
        <v>5730</v>
      </c>
      <c r="K138" s="28">
        <v>1018</v>
      </c>
      <c r="L138" s="22">
        <v>342</v>
      </c>
      <c r="M138" s="28">
        <v>362</v>
      </c>
      <c r="N138" s="28">
        <v>538</v>
      </c>
      <c r="O138" s="28">
        <v>3820</v>
      </c>
      <c r="P138" s="28">
        <v>32</v>
      </c>
      <c r="Q138" s="28">
        <v>203</v>
      </c>
      <c r="R138" s="28">
        <v>97.6</v>
      </c>
      <c r="S138" s="28">
        <v>21</v>
      </c>
      <c r="T138" s="22">
        <v>115</v>
      </c>
      <c r="U138" s="25">
        <v>459</v>
      </c>
      <c r="V138" s="28">
        <v>1910</v>
      </c>
      <c r="W138" s="28">
        <v>15</v>
      </c>
      <c r="X138" s="22">
        <v>109</v>
      </c>
      <c r="Y138" s="30">
        <v>14</v>
      </c>
      <c r="Z138" s="30">
        <v>6</v>
      </c>
      <c r="AA138" s="25">
        <v>28</v>
      </c>
      <c r="AB138" s="22">
        <v>157</v>
      </c>
      <c r="AC138" s="25">
        <v>67</v>
      </c>
      <c r="AD138" s="22">
        <v>1580</v>
      </c>
      <c r="AE138" s="28">
        <v>22</v>
      </c>
      <c r="AF138" s="28">
        <v>21</v>
      </c>
      <c r="AG138" s="28">
        <v>10</v>
      </c>
      <c r="AH138" s="22">
        <v>7</v>
      </c>
      <c r="AI138" s="25">
        <v>61</v>
      </c>
      <c r="AJ138" s="22">
        <v>2592</v>
      </c>
      <c r="AK138" s="25">
        <v>350</v>
      </c>
      <c r="AL138" s="28">
        <v>5419</v>
      </c>
      <c r="AM138" s="28">
        <v>976</v>
      </c>
      <c r="AN138" s="22">
        <v>321</v>
      </c>
      <c r="AO138" s="28">
        <v>324</v>
      </c>
      <c r="AP138" s="28">
        <v>519</v>
      </c>
      <c r="AQ138" s="28">
        <v>3569</v>
      </c>
      <c r="AR138" s="28">
        <v>21</v>
      </c>
      <c r="AS138" s="28">
        <v>185</v>
      </c>
      <c r="AT138" s="28">
        <v>28</v>
      </c>
      <c r="AU138" s="22">
        <v>180</v>
      </c>
      <c r="AV138" s="25">
        <v>429</v>
      </c>
      <c r="AW138" s="28">
        <v>1850</v>
      </c>
      <c r="AX138" s="28">
        <v>16</v>
      </c>
      <c r="AY138" s="22">
        <v>109</v>
      </c>
      <c r="AZ138" s="25">
        <v>31</v>
      </c>
      <c r="BA138" s="22">
        <v>13</v>
      </c>
    </row>
    <row r="139" spans="1:53" x14ac:dyDescent="0.25">
      <c r="A139" s="4" t="s">
        <v>10</v>
      </c>
      <c r="B139" s="40">
        <v>2005</v>
      </c>
      <c r="C139" s="25">
        <v>6</v>
      </c>
      <c r="D139" s="28">
        <v>10</v>
      </c>
      <c r="E139" s="77" t="s">
        <v>96</v>
      </c>
      <c r="F139" s="28">
        <v>-4.2</v>
      </c>
      <c r="G139" s="28">
        <v>-6</v>
      </c>
      <c r="H139" s="22">
        <v>1.7</v>
      </c>
      <c r="I139" s="25">
        <v>232</v>
      </c>
      <c r="J139" s="28">
        <v>4550</v>
      </c>
      <c r="K139" s="28">
        <v>938</v>
      </c>
      <c r="L139" s="22">
        <v>241</v>
      </c>
      <c r="M139" s="28">
        <v>297</v>
      </c>
      <c r="N139" s="28">
        <v>497</v>
      </c>
      <c r="O139" s="28">
        <v>3047</v>
      </c>
      <c r="P139" s="28">
        <v>15</v>
      </c>
      <c r="Q139" s="28">
        <v>149</v>
      </c>
      <c r="R139" s="28">
        <v>75.5</v>
      </c>
      <c r="S139" s="28">
        <v>46</v>
      </c>
      <c r="T139" s="22">
        <v>276</v>
      </c>
      <c r="U139" s="25">
        <v>395</v>
      </c>
      <c r="V139" s="28">
        <v>1503</v>
      </c>
      <c r="W139" s="28">
        <v>4</v>
      </c>
      <c r="X139" s="22">
        <v>76</v>
      </c>
      <c r="Y139" s="30">
        <v>17</v>
      </c>
      <c r="Z139" s="30">
        <v>13</v>
      </c>
      <c r="AA139" s="25">
        <v>37</v>
      </c>
      <c r="AB139" s="22">
        <v>373</v>
      </c>
      <c r="AC139" s="25">
        <v>68</v>
      </c>
      <c r="AD139" s="22">
        <v>1506</v>
      </c>
      <c r="AE139" s="28">
        <v>24</v>
      </c>
      <c r="AF139" s="28">
        <v>22</v>
      </c>
      <c r="AG139" s="28">
        <v>5</v>
      </c>
      <c r="AH139" s="22">
        <v>5</v>
      </c>
      <c r="AI139" s="25">
        <v>80</v>
      </c>
      <c r="AJ139" s="22">
        <v>3232</v>
      </c>
      <c r="AK139" s="25">
        <v>301</v>
      </c>
      <c r="AL139" s="28">
        <v>5069</v>
      </c>
      <c r="AM139" s="28">
        <v>1021</v>
      </c>
      <c r="AN139" s="22">
        <v>292</v>
      </c>
      <c r="AO139" s="28">
        <v>279</v>
      </c>
      <c r="AP139" s="28">
        <v>471</v>
      </c>
      <c r="AQ139" s="28">
        <v>2867</v>
      </c>
      <c r="AR139" s="28">
        <v>19</v>
      </c>
      <c r="AS139" s="28">
        <v>161</v>
      </c>
      <c r="AT139" s="28">
        <v>23</v>
      </c>
      <c r="AU139" s="22">
        <v>142</v>
      </c>
      <c r="AV139" s="25">
        <v>527</v>
      </c>
      <c r="AW139" s="28">
        <v>2202</v>
      </c>
      <c r="AX139" s="28">
        <v>11</v>
      </c>
      <c r="AY139" s="22">
        <v>116</v>
      </c>
      <c r="AZ139" s="25">
        <v>15</v>
      </c>
      <c r="BA139" s="22">
        <v>8</v>
      </c>
    </row>
    <row r="140" spans="1:53" x14ac:dyDescent="0.25">
      <c r="A140" s="4" t="s">
        <v>19</v>
      </c>
      <c r="B140" s="40">
        <v>2005</v>
      </c>
      <c r="C140" s="25">
        <v>9</v>
      </c>
      <c r="D140" s="28">
        <v>7</v>
      </c>
      <c r="E140" s="77" t="s">
        <v>96</v>
      </c>
      <c r="F140" s="28">
        <v>3.2</v>
      </c>
      <c r="G140" s="28">
        <v>-0.1</v>
      </c>
      <c r="H140" s="22">
        <v>3.2</v>
      </c>
      <c r="I140" s="25">
        <v>325</v>
      </c>
      <c r="J140" s="28">
        <v>5202</v>
      </c>
      <c r="K140" s="28">
        <v>1071</v>
      </c>
      <c r="L140" s="22">
        <v>318</v>
      </c>
      <c r="M140" s="28">
        <v>300</v>
      </c>
      <c r="N140" s="28">
        <v>500</v>
      </c>
      <c r="O140" s="28">
        <v>3341</v>
      </c>
      <c r="P140" s="28">
        <v>23</v>
      </c>
      <c r="Q140" s="28">
        <v>177</v>
      </c>
      <c r="R140" s="28">
        <v>83.6</v>
      </c>
      <c r="S140" s="28">
        <v>50</v>
      </c>
      <c r="T140" s="22">
        <v>298</v>
      </c>
      <c r="U140" s="25">
        <v>521</v>
      </c>
      <c r="V140" s="28">
        <v>1861</v>
      </c>
      <c r="W140" s="28">
        <v>13</v>
      </c>
      <c r="X140" s="22">
        <v>97</v>
      </c>
      <c r="Y140" s="30">
        <v>17</v>
      </c>
      <c r="Z140" s="30">
        <v>14</v>
      </c>
      <c r="AA140" s="25">
        <v>45</v>
      </c>
      <c r="AB140" s="22">
        <v>284</v>
      </c>
      <c r="AC140" s="25">
        <v>64</v>
      </c>
      <c r="AD140" s="22">
        <v>1523</v>
      </c>
      <c r="AE140" s="28">
        <v>20</v>
      </c>
      <c r="AF140" s="28">
        <v>16</v>
      </c>
      <c r="AG140" s="28">
        <v>8</v>
      </c>
      <c r="AH140" s="22">
        <v>4</v>
      </c>
      <c r="AI140" s="25">
        <v>82</v>
      </c>
      <c r="AJ140" s="22">
        <v>3477</v>
      </c>
      <c r="AK140" s="25">
        <v>308</v>
      </c>
      <c r="AL140" s="28">
        <v>4814</v>
      </c>
      <c r="AM140" s="28">
        <v>946</v>
      </c>
      <c r="AN140" s="22">
        <v>256</v>
      </c>
      <c r="AO140" s="28">
        <v>271</v>
      </c>
      <c r="AP140" s="28">
        <v>495</v>
      </c>
      <c r="AQ140" s="28">
        <v>3083</v>
      </c>
      <c r="AR140" s="28">
        <v>18</v>
      </c>
      <c r="AS140" s="28">
        <v>150</v>
      </c>
      <c r="AT140" s="28">
        <v>37</v>
      </c>
      <c r="AU140" s="22">
        <v>236</v>
      </c>
      <c r="AV140" s="25">
        <v>414</v>
      </c>
      <c r="AW140" s="28">
        <v>1731</v>
      </c>
      <c r="AX140" s="28">
        <v>13</v>
      </c>
      <c r="AY140" s="22">
        <v>87</v>
      </c>
      <c r="AZ140" s="25">
        <v>15</v>
      </c>
      <c r="BA140" s="22">
        <v>11</v>
      </c>
    </row>
    <row r="141" spans="1:53" x14ac:dyDescent="0.25">
      <c r="A141" s="4" t="s">
        <v>16</v>
      </c>
      <c r="B141" s="40">
        <v>2005</v>
      </c>
      <c r="C141" s="25">
        <v>13</v>
      </c>
      <c r="D141" s="28">
        <v>3</v>
      </c>
      <c r="E141" s="77" t="s">
        <v>97</v>
      </c>
      <c r="F141" s="28">
        <v>10.8</v>
      </c>
      <c r="G141" s="28">
        <v>5</v>
      </c>
      <c r="H141" s="22">
        <v>5.8</v>
      </c>
      <c r="I141" s="25">
        <v>395</v>
      </c>
      <c r="J141" s="28">
        <v>5766</v>
      </c>
      <c r="K141" s="28">
        <v>1030</v>
      </c>
      <c r="L141" s="22">
        <v>330</v>
      </c>
      <c r="M141" s="28">
        <v>279</v>
      </c>
      <c r="N141" s="28">
        <v>465</v>
      </c>
      <c r="O141" s="28">
        <v>3227</v>
      </c>
      <c r="P141" s="28">
        <v>18</v>
      </c>
      <c r="Q141" s="28">
        <v>162</v>
      </c>
      <c r="R141" s="28">
        <v>88.9</v>
      </c>
      <c r="S141" s="28">
        <v>23</v>
      </c>
      <c r="T141" s="22">
        <v>146</v>
      </c>
      <c r="U141" s="25">
        <v>542</v>
      </c>
      <c r="V141" s="28">
        <v>2539</v>
      </c>
      <c r="W141" s="28">
        <v>25</v>
      </c>
      <c r="X141" s="22">
        <v>145</v>
      </c>
      <c r="Y141" s="30">
        <v>7</v>
      </c>
      <c r="Z141" s="30">
        <v>9</v>
      </c>
      <c r="AA141" s="25">
        <v>33</v>
      </c>
      <c r="AB141" s="22">
        <v>281</v>
      </c>
      <c r="AC141" s="25">
        <v>47</v>
      </c>
      <c r="AD141" s="22">
        <v>975</v>
      </c>
      <c r="AE141" s="28">
        <v>15</v>
      </c>
      <c r="AF141" s="28">
        <v>14</v>
      </c>
      <c r="AG141" s="28">
        <v>17</v>
      </c>
      <c r="AH141" s="22">
        <v>10</v>
      </c>
      <c r="AI141" s="25">
        <v>73</v>
      </c>
      <c r="AJ141" s="22">
        <v>3154</v>
      </c>
      <c r="AK141" s="25">
        <v>258</v>
      </c>
      <c r="AL141" s="28">
        <v>5006</v>
      </c>
      <c r="AM141" s="28">
        <v>985</v>
      </c>
      <c r="AN141" s="22">
        <v>295</v>
      </c>
      <c r="AO141" s="28">
        <v>344</v>
      </c>
      <c r="AP141" s="28">
        <v>613</v>
      </c>
      <c r="AQ141" s="28">
        <v>3643</v>
      </c>
      <c r="AR141" s="28">
        <v>20</v>
      </c>
      <c r="AS141" s="28">
        <v>183</v>
      </c>
      <c r="AT141" s="28">
        <v>28</v>
      </c>
      <c r="AU141" s="22">
        <v>190</v>
      </c>
      <c r="AV141" s="25">
        <v>344</v>
      </c>
      <c r="AW141" s="28">
        <v>1363</v>
      </c>
      <c r="AX141" s="28">
        <v>10</v>
      </c>
      <c r="AY141" s="22">
        <v>82</v>
      </c>
      <c r="AZ141" s="25">
        <v>20</v>
      </c>
      <c r="BA141" s="22">
        <v>16</v>
      </c>
    </row>
    <row r="142" spans="1:53" x14ac:dyDescent="0.25">
      <c r="A142" s="4" t="s">
        <v>26</v>
      </c>
      <c r="B142" s="40">
        <v>2005</v>
      </c>
      <c r="C142" s="25">
        <v>5</v>
      </c>
      <c r="D142" s="28">
        <v>11</v>
      </c>
      <c r="E142" s="77" t="s">
        <v>96</v>
      </c>
      <c r="F142" s="28">
        <v>-6.7</v>
      </c>
      <c r="G142" s="28">
        <v>-4.3</v>
      </c>
      <c r="H142" s="22">
        <v>-2.4</v>
      </c>
      <c r="I142" s="25">
        <v>254</v>
      </c>
      <c r="J142" s="28">
        <v>4319</v>
      </c>
      <c r="K142" s="28">
        <v>955</v>
      </c>
      <c r="L142" s="22">
        <v>258</v>
      </c>
      <c r="M142" s="28">
        <v>297</v>
      </c>
      <c r="N142" s="28">
        <v>520</v>
      </c>
      <c r="O142" s="28">
        <v>2848</v>
      </c>
      <c r="P142" s="28">
        <v>15</v>
      </c>
      <c r="Q142" s="28">
        <v>151</v>
      </c>
      <c r="R142" s="28">
        <v>69.099999999999994</v>
      </c>
      <c r="S142" s="28">
        <v>31</v>
      </c>
      <c r="T142" s="22">
        <v>173</v>
      </c>
      <c r="U142" s="25">
        <v>404</v>
      </c>
      <c r="V142" s="28">
        <v>1471</v>
      </c>
      <c r="W142" s="28">
        <v>10</v>
      </c>
      <c r="X142" s="22">
        <v>69</v>
      </c>
      <c r="Y142" s="30">
        <v>18</v>
      </c>
      <c r="Z142" s="30">
        <v>12</v>
      </c>
      <c r="AA142" s="25">
        <v>36</v>
      </c>
      <c r="AB142" s="22">
        <v>274</v>
      </c>
      <c r="AC142" s="25">
        <v>73</v>
      </c>
      <c r="AD142" s="22">
        <v>1576</v>
      </c>
      <c r="AE142" s="28">
        <v>13</v>
      </c>
      <c r="AF142" s="28">
        <v>13</v>
      </c>
      <c r="AG142" s="28">
        <v>11</v>
      </c>
      <c r="AH142" s="22">
        <v>6</v>
      </c>
      <c r="AI142" s="25">
        <v>84</v>
      </c>
      <c r="AJ142" s="22">
        <v>3654</v>
      </c>
      <c r="AK142" s="25">
        <v>345</v>
      </c>
      <c r="AL142" s="28">
        <v>5158</v>
      </c>
      <c r="AM142" s="28">
        <v>1006</v>
      </c>
      <c r="AN142" s="22">
        <v>308</v>
      </c>
      <c r="AO142" s="28">
        <v>295</v>
      </c>
      <c r="AP142" s="28">
        <v>487</v>
      </c>
      <c r="AQ142" s="28">
        <v>3118</v>
      </c>
      <c r="AR142" s="28">
        <v>19</v>
      </c>
      <c r="AS142" s="28">
        <v>166</v>
      </c>
      <c r="AT142" s="28">
        <v>31</v>
      </c>
      <c r="AU142" s="22">
        <v>187</v>
      </c>
      <c r="AV142" s="25">
        <v>488</v>
      </c>
      <c r="AW142" s="28">
        <v>2040</v>
      </c>
      <c r="AX142" s="28">
        <v>15</v>
      </c>
      <c r="AY142" s="22">
        <v>109</v>
      </c>
      <c r="AZ142" s="25">
        <v>19</v>
      </c>
      <c r="BA142" s="22">
        <v>12</v>
      </c>
    </row>
    <row r="143" spans="1:53" x14ac:dyDescent="0.25">
      <c r="A143" s="4" t="s">
        <v>24</v>
      </c>
      <c r="B143" s="40">
        <v>2005</v>
      </c>
      <c r="C143" s="25">
        <v>4</v>
      </c>
      <c r="D143" s="28">
        <v>12</v>
      </c>
      <c r="E143" s="77" t="s">
        <v>96</v>
      </c>
      <c r="F143" s="28">
        <v>-3.7</v>
      </c>
      <c r="G143" s="28">
        <v>-1.5</v>
      </c>
      <c r="H143" s="22">
        <v>-2.2000000000000002</v>
      </c>
      <c r="I143" s="25">
        <v>298</v>
      </c>
      <c r="J143" s="28">
        <v>5118</v>
      </c>
      <c r="K143" s="28">
        <v>1051</v>
      </c>
      <c r="L143" s="22">
        <v>318</v>
      </c>
      <c r="M143" s="28">
        <v>383</v>
      </c>
      <c r="N143" s="28">
        <v>626</v>
      </c>
      <c r="O143" s="28">
        <v>3766</v>
      </c>
      <c r="P143" s="28">
        <v>20</v>
      </c>
      <c r="Q143" s="28">
        <v>206</v>
      </c>
      <c r="R143" s="28">
        <v>70.099999999999994</v>
      </c>
      <c r="S143" s="28">
        <v>27</v>
      </c>
      <c r="T143" s="22">
        <v>198</v>
      </c>
      <c r="U143" s="25">
        <v>398</v>
      </c>
      <c r="V143" s="28">
        <v>1352</v>
      </c>
      <c r="W143" s="28">
        <v>11</v>
      </c>
      <c r="X143" s="22">
        <v>76</v>
      </c>
      <c r="Y143" s="30">
        <v>30</v>
      </c>
      <c r="Z143" s="30">
        <v>15</v>
      </c>
      <c r="AA143" s="25">
        <v>45</v>
      </c>
      <c r="AB143" s="22">
        <v>381</v>
      </c>
      <c r="AC143" s="25">
        <v>75</v>
      </c>
      <c r="AD143" s="22">
        <v>1418</v>
      </c>
      <c r="AE143" s="28">
        <v>17</v>
      </c>
      <c r="AF143" s="28">
        <v>13</v>
      </c>
      <c r="AG143" s="28">
        <v>10</v>
      </c>
      <c r="AH143" s="22">
        <v>7</v>
      </c>
      <c r="AI143" s="25">
        <v>70</v>
      </c>
      <c r="AJ143" s="22">
        <v>2723</v>
      </c>
      <c r="AK143" s="25">
        <v>344</v>
      </c>
      <c r="AL143" s="28">
        <v>4690</v>
      </c>
      <c r="AM143" s="28">
        <v>969</v>
      </c>
      <c r="AN143" s="22">
        <v>280</v>
      </c>
      <c r="AO143" s="28">
        <v>252</v>
      </c>
      <c r="AP143" s="28">
        <v>430</v>
      </c>
      <c r="AQ143" s="28">
        <v>2680</v>
      </c>
      <c r="AR143" s="28">
        <v>22</v>
      </c>
      <c r="AS143" s="28">
        <v>143</v>
      </c>
      <c r="AT143" s="28">
        <v>35</v>
      </c>
      <c r="AU143" s="22">
        <v>196</v>
      </c>
      <c r="AV143" s="25">
        <v>504</v>
      </c>
      <c r="AW143" s="28">
        <v>2010</v>
      </c>
      <c r="AX143" s="28">
        <v>10</v>
      </c>
      <c r="AY143" s="22">
        <v>107</v>
      </c>
      <c r="AZ143" s="25">
        <v>10</v>
      </c>
      <c r="BA143" s="22">
        <v>11</v>
      </c>
    </row>
    <row r="144" spans="1:53" x14ac:dyDescent="0.25">
      <c r="A144" s="4" t="s">
        <v>12</v>
      </c>
      <c r="B144" s="40">
        <v>2005</v>
      </c>
      <c r="C144" s="25">
        <v>2</v>
      </c>
      <c r="D144" s="28">
        <v>14</v>
      </c>
      <c r="E144" s="77" t="s">
        <v>96</v>
      </c>
      <c r="F144" s="28">
        <v>-10</v>
      </c>
      <c r="G144" s="28">
        <v>-4.4000000000000004</v>
      </c>
      <c r="H144" s="22">
        <v>-5.7</v>
      </c>
      <c r="I144" s="25">
        <v>260</v>
      </c>
      <c r="J144" s="28">
        <v>4053</v>
      </c>
      <c r="K144" s="28">
        <v>954</v>
      </c>
      <c r="L144" s="22">
        <v>243</v>
      </c>
      <c r="M144" s="28">
        <v>270</v>
      </c>
      <c r="N144" s="28">
        <v>449</v>
      </c>
      <c r="O144" s="28">
        <v>2237</v>
      </c>
      <c r="P144" s="28">
        <v>15</v>
      </c>
      <c r="Q144" s="28">
        <v>142</v>
      </c>
      <c r="R144" s="28">
        <v>76</v>
      </c>
      <c r="S144" s="28">
        <v>68</v>
      </c>
      <c r="T144" s="22">
        <v>424</v>
      </c>
      <c r="U144" s="25">
        <v>437</v>
      </c>
      <c r="V144" s="28">
        <v>1816</v>
      </c>
      <c r="W144" s="28">
        <v>9</v>
      </c>
      <c r="X144" s="22">
        <v>89</v>
      </c>
      <c r="Y144" s="30">
        <v>13</v>
      </c>
      <c r="Z144" s="30">
        <v>11</v>
      </c>
      <c r="AA144" s="25">
        <v>30</v>
      </c>
      <c r="AB144" s="22">
        <v>223</v>
      </c>
      <c r="AC144" s="25">
        <v>84</v>
      </c>
      <c r="AD144" s="22">
        <v>2173</v>
      </c>
      <c r="AE144" s="28">
        <v>26</v>
      </c>
      <c r="AF144" s="28">
        <v>21</v>
      </c>
      <c r="AG144" s="28">
        <v>8</v>
      </c>
      <c r="AH144" s="22">
        <v>5</v>
      </c>
      <c r="AI144" s="25">
        <v>77</v>
      </c>
      <c r="AJ144" s="22">
        <v>2988</v>
      </c>
      <c r="AK144" s="25">
        <v>431</v>
      </c>
      <c r="AL144" s="28">
        <v>5824</v>
      </c>
      <c r="AM144" s="28">
        <v>1012</v>
      </c>
      <c r="AN144" s="22">
        <v>348</v>
      </c>
      <c r="AO144" s="28">
        <v>304</v>
      </c>
      <c r="AP144" s="28">
        <v>469</v>
      </c>
      <c r="AQ144" s="28">
        <v>3521</v>
      </c>
      <c r="AR144" s="28">
        <v>24</v>
      </c>
      <c r="AS144" s="28">
        <v>188</v>
      </c>
      <c r="AT144" s="28">
        <v>37</v>
      </c>
      <c r="AU144" s="22">
        <v>206</v>
      </c>
      <c r="AV144" s="25">
        <v>506</v>
      </c>
      <c r="AW144" s="28">
        <v>2303</v>
      </c>
      <c r="AX144" s="28">
        <v>21</v>
      </c>
      <c r="AY144" s="22">
        <v>123</v>
      </c>
      <c r="AZ144" s="25">
        <v>7</v>
      </c>
      <c r="BA144" s="22">
        <v>9</v>
      </c>
    </row>
    <row r="145" spans="1:53" x14ac:dyDescent="0.25">
      <c r="A145" s="4" t="s">
        <v>11</v>
      </c>
      <c r="B145" s="40">
        <v>2005</v>
      </c>
      <c r="C145" s="25">
        <v>14</v>
      </c>
      <c r="D145" s="28">
        <v>2</v>
      </c>
      <c r="E145" s="77" t="s">
        <v>97</v>
      </c>
      <c r="F145" s="28">
        <v>10.8</v>
      </c>
      <c r="G145" s="28">
        <v>5.6</v>
      </c>
      <c r="H145" s="22">
        <v>5.2</v>
      </c>
      <c r="I145" s="25">
        <v>439</v>
      </c>
      <c r="J145" s="28">
        <v>5799</v>
      </c>
      <c r="K145" s="28">
        <v>1000</v>
      </c>
      <c r="L145" s="22">
        <v>363</v>
      </c>
      <c r="M145" s="28">
        <v>347</v>
      </c>
      <c r="N145" s="28">
        <v>515</v>
      </c>
      <c r="O145" s="28">
        <v>4096</v>
      </c>
      <c r="P145" s="28">
        <v>31</v>
      </c>
      <c r="Q145" s="28">
        <v>217</v>
      </c>
      <c r="R145" s="28">
        <v>103.3</v>
      </c>
      <c r="S145" s="28">
        <v>20</v>
      </c>
      <c r="T145" s="22">
        <v>95</v>
      </c>
      <c r="U145" s="25">
        <v>465</v>
      </c>
      <c r="V145" s="28">
        <v>1703</v>
      </c>
      <c r="W145" s="28">
        <v>18</v>
      </c>
      <c r="X145" s="22">
        <v>116</v>
      </c>
      <c r="Y145" s="30">
        <v>11</v>
      </c>
      <c r="Z145" s="30">
        <v>8</v>
      </c>
      <c r="AA145" s="25">
        <v>24</v>
      </c>
      <c r="AB145" s="22">
        <v>182</v>
      </c>
      <c r="AC145" s="25">
        <v>51</v>
      </c>
      <c r="AD145" s="22">
        <v>1017</v>
      </c>
      <c r="AE145" s="28">
        <v>17</v>
      </c>
      <c r="AF145" s="28">
        <v>16</v>
      </c>
      <c r="AG145" s="28">
        <v>9</v>
      </c>
      <c r="AH145" s="22">
        <v>7</v>
      </c>
      <c r="AI145" s="25">
        <v>52</v>
      </c>
      <c r="AJ145" s="22">
        <v>2304</v>
      </c>
      <c r="AK145" s="25">
        <v>247</v>
      </c>
      <c r="AL145" s="28">
        <v>4913</v>
      </c>
      <c r="AM145" s="28">
        <v>953</v>
      </c>
      <c r="AN145" s="22">
        <v>269</v>
      </c>
      <c r="AO145" s="28">
        <v>343</v>
      </c>
      <c r="AP145" s="28">
        <v>509</v>
      </c>
      <c r="AQ145" s="28">
        <v>3151</v>
      </c>
      <c r="AR145" s="28">
        <v>17</v>
      </c>
      <c r="AS145" s="28">
        <v>163</v>
      </c>
      <c r="AT145" s="28">
        <v>46</v>
      </c>
      <c r="AU145" s="22">
        <v>318</v>
      </c>
      <c r="AV145" s="25">
        <v>398</v>
      </c>
      <c r="AW145" s="28">
        <v>1762</v>
      </c>
      <c r="AX145" s="28">
        <v>9</v>
      </c>
      <c r="AY145" s="22">
        <v>91</v>
      </c>
      <c r="AZ145" s="25">
        <v>18</v>
      </c>
      <c r="BA145" s="22">
        <v>13</v>
      </c>
    </row>
    <row r="146" spans="1:53" x14ac:dyDescent="0.25">
      <c r="A146" s="4" t="s">
        <v>14</v>
      </c>
      <c r="B146" s="40">
        <v>2005</v>
      </c>
      <c r="C146" s="25">
        <v>12</v>
      </c>
      <c r="D146" s="28">
        <v>4</v>
      </c>
      <c r="E146" s="77" t="s">
        <v>97</v>
      </c>
      <c r="F146" s="28">
        <v>4.8</v>
      </c>
      <c r="G146" s="28">
        <v>1.1000000000000001</v>
      </c>
      <c r="H146" s="22">
        <v>3.7</v>
      </c>
      <c r="I146" s="25">
        <v>361</v>
      </c>
      <c r="J146" s="28">
        <v>5149</v>
      </c>
      <c r="K146" s="28">
        <v>1021</v>
      </c>
      <c r="L146" s="22">
        <v>301</v>
      </c>
      <c r="M146" s="28">
        <v>283</v>
      </c>
      <c r="N146" s="28">
        <v>487</v>
      </c>
      <c r="O146" s="28">
        <v>3190</v>
      </c>
      <c r="P146" s="28">
        <v>21</v>
      </c>
      <c r="Q146" s="28">
        <v>170</v>
      </c>
      <c r="R146" s="28">
        <v>88.4</v>
      </c>
      <c r="S146" s="28">
        <v>32</v>
      </c>
      <c r="T146" s="22">
        <v>162</v>
      </c>
      <c r="U146" s="25">
        <v>502</v>
      </c>
      <c r="V146" s="28">
        <v>1959</v>
      </c>
      <c r="W146" s="28">
        <v>18</v>
      </c>
      <c r="X146" s="22">
        <v>97</v>
      </c>
      <c r="Y146" s="30">
        <v>6</v>
      </c>
      <c r="Z146" s="30">
        <v>11</v>
      </c>
      <c r="AA146" s="25">
        <v>53</v>
      </c>
      <c r="AB146" s="22">
        <v>415</v>
      </c>
      <c r="AC146" s="25">
        <v>50</v>
      </c>
      <c r="AD146" s="22">
        <v>1197</v>
      </c>
      <c r="AE146" s="28">
        <v>17</v>
      </c>
      <c r="AF146" s="28">
        <v>16</v>
      </c>
      <c r="AG146" s="28">
        <v>13</v>
      </c>
      <c r="AH146" s="22">
        <v>7</v>
      </c>
      <c r="AI146" s="25">
        <v>83</v>
      </c>
      <c r="AJ146" s="22">
        <v>3519</v>
      </c>
      <c r="AK146" s="25">
        <v>269</v>
      </c>
      <c r="AL146" s="28">
        <v>4655</v>
      </c>
      <c r="AM146" s="28">
        <v>963</v>
      </c>
      <c r="AN146" s="22">
        <v>273</v>
      </c>
      <c r="AO146" s="28">
        <v>285</v>
      </c>
      <c r="AP146" s="28">
        <v>482</v>
      </c>
      <c r="AQ146" s="28">
        <v>2946</v>
      </c>
      <c r="AR146" s="28">
        <v>22</v>
      </c>
      <c r="AS146" s="28">
        <v>158</v>
      </c>
      <c r="AT146" s="28">
        <v>47</v>
      </c>
      <c r="AU146" s="22">
        <v>277</v>
      </c>
      <c r="AV146" s="25">
        <v>434</v>
      </c>
      <c r="AW146" s="28">
        <v>1709</v>
      </c>
      <c r="AX146" s="28">
        <v>4</v>
      </c>
      <c r="AY146" s="22">
        <v>79</v>
      </c>
      <c r="AZ146" s="25">
        <v>19</v>
      </c>
      <c r="BA146" s="22">
        <v>9</v>
      </c>
    </row>
    <row r="147" spans="1:53" x14ac:dyDescent="0.25">
      <c r="A147" s="4" t="s">
        <v>18</v>
      </c>
      <c r="B147" s="40">
        <v>2005</v>
      </c>
      <c r="C147" s="25">
        <v>10</v>
      </c>
      <c r="D147" s="28">
        <v>6</v>
      </c>
      <c r="E147" s="77" t="s">
        <v>96</v>
      </c>
      <c r="F147" s="28">
        <v>7</v>
      </c>
      <c r="G147" s="28">
        <v>5.0999999999999996</v>
      </c>
      <c r="H147" s="22">
        <v>1.9</v>
      </c>
      <c r="I147" s="25">
        <v>403</v>
      </c>
      <c r="J147" s="28">
        <v>6192</v>
      </c>
      <c r="K147" s="28">
        <v>1059</v>
      </c>
      <c r="L147" s="22">
        <v>347</v>
      </c>
      <c r="M147" s="28">
        <v>317</v>
      </c>
      <c r="N147" s="28">
        <v>507</v>
      </c>
      <c r="O147" s="28">
        <v>3810</v>
      </c>
      <c r="P147" s="28">
        <v>17</v>
      </c>
      <c r="Q147" s="28">
        <v>182</v>
      </c>
      <c r="R147" s="28">
        <v>90.1</v>
      </c>
      <c r="S147" s="28">
        <v>32</v>
      </c>
      <c r="T147" s="22">
        <v>204</v>
      </c>
      <c r="U147" s="25">
        <v>520</v>
      </c>
      <c r="V147" s="28">
        <v>2382</v>
      </c>
      <c r="W147" s="28">
        <v>26</v>
      </c>
      <c r="X147" s="22">
        <v>138</v>
      </c>
      <c r="Y147" s="30">
        <v>10</v>
      </c>
      <c r="Z147" s="30">
        <v>13</v>
      </c>
      <c r="AA147" s="25">
        <v>43</v>
      </c>
      <c r="AB147" s="22">
        <v>293</v>
      </c>
      <c r="AC147" s="25">
        <v>68</v>
      </c>
      <c r="AD147" s="22">
        <v>1591</v>
      </c>
      <c r="AE147" s="28">
        <v>22</v>
      </c>
      <c r="AF147" s="28">
        <v>21</v>
      </c>
      <c r="AG147" s="28">
        <v>11</v>
      </c>
      <c r="AH147" s="22">
        <v>6</v>
      </c>
      <c r="AI147" s="25">
        <v>65</v>
      </c>
      <c r="AJ147" s="22">
        <v>2561</v>
      </c>
      <c r="AK147" s="25">
        <v>325</v>
      </c>
      <c r="AL147" s="28">
        <v>5249</v>
      </c>
      <c r="AM147" s="28">
        <v>971</v>
      </c>
      <c r="AN147" s="22">
        <v>292</v>
      </c>
      <c r="AO147" s="28">
        <v>325</v>
      </c>
      <c r="AP147" s="28">
        <v>559</v>
      </c>
      <c r="AQ147" s="28">
        <v>3679</v>
      </c>
      <c r="AR147" s="28">
        <v>25</v>
      </c>
      <c r="AS147" s="28">
        <v>189</v>
      </c>
      <c r="AT147" s="28">
        <v>29</v>
      </c>
      <c r="AU147" s="22">
        <v>183</v>
      </c>
      <c r="AV147" s="25">
        <v>383</v>
      </c>
      <c r="AW147" s="28">
        <v>1570</v>
      </c>
      <c r="AX147" s="28">
        <v>11</v>
      </c>
      <c r="AY147" s="22">
        <v>84</v>
      </c>
      <c r="AZ147" s="25">
        <v>16</v>
      </c>
      <c r="BA147" s="22">
        <v>15</v>
      </c>
    </row>
    <row r="148" spans="1:53" x14ac:dyDescent="0.25">
      <c r="A148" s="4" t="s">
        <v>5</v>
      </c>
      <c r="B148" s="40">
        <v>2005</v>
      </c>
      <c r="C148" s="25">
        <v>9</v>
      </c>
      <c r="D148" s="28">
        <v>7</v>
      </c>
      <c r="E148" s="77" t="s">
        <v>96</v>
      </c>
      <c r="F148" s="28">
        <v>-0.8</v>
      </c>
      <c r="G148" s="28">
        <v>-1.1000000000000001</v>
      </c>
      <c r="H148" s="22">
        <v>0.3</v>
      </c>
      <c r="I148" s="25">
        <v>318</v>
      </c>
      <c r="J148" s="28">
        <v>5198</v>
      </c>
      <c r="K148" s="28">
        <v>1026</v>
      </c>
      <c r="L148" s="22">
        <v>274</v>
      </c>
      <c r="M148" s="28">
        <v>291</v>
      </c>
      <c r="N148" s="28">
        <v>556</v>
      </c>
      <c r="O148" s="28">
        <v>3300</v>
      </c>
      <c r="P148" s="28">
        <v>22</v>
      </c>
      <c r="Q148" s="28">
        <v>159</v>
      </c>
      <c r="R148" s="28">
        <v>72.8</v>
      </c>
      <c r="S148" s="28">
        <v>26</v>
      </c>
      <c r="T148" s="22">
        <v>158</v>
      </c>
      <c r="U148" s="25">
        <v>444</v>
      </c>
      <c r="V148" s="28">
        <v>1898</v>
      </c>
      <c r="W148" s="28">
        <v>11</v>
      </c>
      <c r="X148" s="22">
        <v>93</v>
      </c>
      <c r="Y148" s="30">
        <v>16</v>
      </c>
      <c r="Z148" s="30">
        <v>14</v>
      </c>
      <c r="AA148" s="25">
        <v>43</v>
      </c>
      <c r="AB148" s="22">
        <v>390</v>
      </c>
      <c r="AC148" s="25">
        <v>68</v>
      </c>
      <c r="AD148" s="22">
        <v>1501</v>
      </c>
      <c r="AE148" s="28">
        <v>22</v>
      </c>
      <c r="AF148" s="28">
        <v>18</v>
      </c>
      <c r="AG148" s="28">
        <v>8</v>
      </c>
      <c r="AH148" s="22">
        <v>7</v>
      </c>
      <c r="AI148" s="25">
        <v>89</v>
      </c>
      <c r="AJ148" s="22">
        <v>3836</v>
      </c>
      <c r="AK148" s="25">
        <v>317</v>
      </c>
      <c r="AL148" s="28">
        <v>5078</v>
      </c>
      <c r="AM148" s="28">
        <v>1078</v>
      </c>
      <c r="AN148" s="22">
        <v>319</v>
      </c>
      <c r="AO148" s="28">
        <v>323</v>
      </c>
      <c r="AP148" s="28">
        <v>549</v>
      </c>
      <c r="AQ148" s="28">
        <v>3307</v>
      </c>
      <c r="AR148" s="28">
        <v>23</v>
      </c>
      <c r="AS148" s="28">
        <v>183</v>
      </c>
      <c r="AT148" s="28">
        <v>49</v>
      </c>
      <c r="AU148" s="22">
        <v>375</v>
      </c>
      <c r="AV148" s="25">
        <v>480</v>
      </c>
      <c r="AW148" s="28">
        <v>1771</v>
      </c>
      <c r="AX148" s="28">
        <v>11</v>
      </c>
      <c r="AY148" s="22">
        <v>94</v>
      </c>
      <c r="AZ148" s="25">
        <v>14</v>
      </c>
      <c r="BA148" s="22">
        <v>17</v>
      </c>
    </row>
    <row r="149" spans="1:53" x14ac:dyDescent="0.25">
      <c r="A149" s="4" t="s">
        <v>23</v>
      </c>
      <c r="B149" s="40">
        <v>2005</v>
      </c>
      <c r="C149" s="25">
        <v>9</v>
      </c>
      <c r="D149" s="28">
        <v>7</v>
      </c>
      <c r="E149" s="77" t="s">
        <v>96</v>
      </c>
      <c r="F149" s="28">
        <v>-3.5</v>
      </c>
      <c r="G149" s="28">
        <v>-1.4</v>
      </c>
      <c r="H149" s="22">
        <v>-2.1</v>
      </c>
      <c r="I149" s="25">
        <v>306</v>
      </c>
      <c r="J149" s="28">
        <v>4613</v>
      </c>
      <c r="K149" s="28">
        <v>945</v>
      </c>
      <c r="L149" s="22">
        <v>285</v>
      </c>
      <c r="M149" s="28">
        <v>323</v>
      </c>
      <c r="N149" s="28">
        <v>510</v>
      </c>
      <c r="O149" s="28">
        <v>3146</v>
      </c>
      <c r="P149" s="28">
        <v>18</v>
      </c>
      <c r="Q149" s="28">
        <v>169</v>
      </c>
      <c r="R149" s="28">
        <v>81.7</v>
      </c>
      <c r="S149" s="28">
        <v>54</v>
      </c>
      <c r="T149" s="22">
        <v>303</v>
      </c>
      <c r="U149" s="25">
        <v>381</v>
      </c>
      <c r="V149" s="28">
        <v>1467</v>
      </c>
      <c r="W149" s="28">
        <v>10</v>
      </c>
      <c r="X149" s="22">
        <v>83</v>
      </c>
      <c r="Y149" s="30">
        <v>16</v>
      </c>
      <c r="Z149" s="30">
        <v>14</v>
      </c>
      <c r="AA149" s="25">
        <v>41</v>
      </c>
      <c r="AB149" s="22">
        <v>344</v>
      </c>
      <c r="AC149" s="25">
        <v>71</v>
      </c>
      <c r="AD149" s="22">
        <v>1549</v>
      </c>
      <c r="AE149" s="28">
        <v>19</v>
      </c>
      <c r="AF149" s="28">
        <v>14</v>
      </c>
      <c r="AG149" s="28">
        <v>15</v>
      </c>
      <c r="AH149" s="22">
        <v>11</v>
      </c>
      <c r="AI149" s="25">
        <v>81</v>
      </c>
      <c r="AJ149" s="22">
        <v>3507</v>
      </c>
      <c r="AK149" s="25">
        <v>344</v>
      </c>
      <c r="AL149" s="28">
        <v>5173</v>
      </c>
      <c r="AM149" s="28">
        <v>1029</v>
      </c>
      <c r="AN149" s="22">
        <v>304</v>
      </c>
      <c r="AO149" s="28">
        <v>319</v>
      </c>
      <c r="AP149" s="28">
        <v>533</v>
      </c>
      <c r="AQ149" s="28">
        <v>3332</v>
      </c>
      <c r="AR149" s="28">
        <v>23</v>
      </c>
      <c r="AS149" s="28">
        <v>177</v>
      </c>
      <c r="AT149" s="28">
        <v>34</v>
      </c>
      <c r="AU149" s="22">
        <v>207</v>
      </c>
      <c r="AV149" s="25">
        <v>462</v>
      </c>
      <c r="AW149" s="28">
        <v>1841</v>
      </c>
      <c r="AX149" s="28">
        <v>14</v>
      </c>
      <c r="AY149" s="22">
        <v>96</v>
      </c>
      <c r="AZ149" s="25">
        <v>24</v>
      </c>
      <c r="BA149" s="22">
        <v>11</v>
      </c>
    </row>
    <row r="150" spans="1:53" x14ac:dyDescent="0.25">
      <c r="A150" s="4" t="s">
        <v>3</v>
      </c>
      <c r="B150" s="40">
        <v>2005</v>
      </c>
      <c r="C150" s="25">
        <v>10</v>
      </c>
      <c r="D150" s="28">
        <v>6</v>
      </c>
      <c r="E150" s="77" t="s">
        <v>97</v>
      </c>
      <c r="F150" s="28">
        <v>3.1</v>
      </c>
      <c r="G150" s="28">
        <v>3.7</v>
      </c>
      <c r="H150" s="22">
        <v>-0.5</v>
      </c>
      <c r="I150" s="25">
        <v>379</v>
      </c>
      <c r="J150" s="28">
        <v>5632</v>
      </c>
      <c r="K150" s="28">
        <v>1031</v>
      </c>
      <c r="L150" s="22">
        <v>334</v>
      </c>
      <c r="M150" s="28">
        <v>352</v>
      </c>
      <c r="N150" s="28">
        <v>564</v>
      </c>
      <c r="O150" s="28">
        <v>4120</v>
      </c>
      <c r="P150" s="28">
        <v>28</v>
      </c>
      <c r="Q150" s="28">
        <v>204</v>
      </c>
      <c r="R150" s="28">
        <v>91.5</v>
      </c>
      <c r="S150" s="28">
        <v>28</v>
      </c>
      <c r="T150" s="22">
        <v>202</v>
      </c>
      <c r="U150" s="25">
        <v>439</v>
      </c>
      <c r="V150" s="28">
        <v>1512</v>
      </c>
      <c r="W150" s="28">
        <v>16</v>
      </c>
      <c r="X150" s="22">
        <v>101</v>
      </c>
      <c r="Y150" s="30">
        <v>15</v>
      </c>
      <c r="Z150" s="30">
        <v>9</v>
      </c>
      <c r="AA150" s="25">
        <v>40</v>
      </c>
      <c r="AB150" s="22">
        <v>314</v>
      </c>
      <c r="AC150" s="25">
        <v>70</v>
      </c>
      <c r="AD150" s="22">
        <v>1555</v>
      </c>
      <c r="AE150" s="28">
        <v>17</v>
      </c>
      <c r="AF150" s="28">
        <v>16</v>
      </c>
      <c r="AG150" s="28">
        <v>8</v>
      </c>
      <c r="AH150" s="22">
        <v>4</v>
      </c>
      <c r="AI150" s="25">
        <v>77</v>
      </c>
      <c r="AJ150" s="22">
        <v>3434</v>
      </c>
      <c r="AK150" s="25">
        <v>338</v>
      </c>
      <c r="AL150" s="28">
        <v>5283</v>
      </c>
      <c r="AM150" s="28">
        <v>997</v>
      </c>
      <c r="AN150" s="22">
        <v>306</v>
      </c>
      <c r="AO150" s="28">
        <v>296</v>
      </c>
      <c r="AP150" s="28">
        <v>527</v>
      </c>
      <c r="AQ150" s="28">
        <v>3703</v>
      </c>
      <c r="AR150" s="28">
        <v>25</v>
      </c>
      <c r="AS150" s="28">
        <v>179</v>
      </c>
      <c r="AT150" s="28">
        <v>33</v>
      </c>
      <c r="AU150" s="22">
        <v>223</v>
      </c>
      <c r="AV150" s="25">
        <v>437</v>
      </c>
      <c r="AW150" s="28">
        <v>1580</v>
      </c>
      <c r="AX150" s="28">
        <v>11</v>
      </c>
      <c r="AY150" s="22">
        <v>94</v>
      </c>
      <c r="AZ150" s="25">
        <v>10</v>
      </c>
      <c r="BA150" s="22">
        <v>8</v>
      </c>
    </row>
    <row r="151" spans="1:53" x14ac:dyDescent="0.25">
      <c r="A151" s="4" t="s">
        <v>27</v>
      </c>
      <c r="B151" s="40">
        <v>2005</v>
      </c>
      <c r="C151" s="25">
        <v>3</v>
      </c>
      <c r="D151" s="28">
        <v>13</v>
      </c>
      <c r="E151" s="77" t="s">
        <v>96</v>
      </c>
      <c r="F151" s="28">
        <v>-11.1</v>
      </c>
      <c r="G151" s="28">
        <v>-6.2</v>
      </c>
      <c r="H151" s="22">
        <v>-4.9000000000000004</v>
      </c>
      <c r="I151" s="25">
        <v>235</v>
      </c>
      <c r="J151" s="28">
        <v>5031</v>
      </c>
      <c r="K151" s="28">
        <v>1017</v>
      </c>
      <c r="L151" s="22">
        <v>312</v>
      </c>
      <c r="M151" s="28">
        <v>308</v>
      </c>
      <c r="N151" s="28">
        <v>553</v>
      </c>
      <c r="O151" s="28">
        <v>3343</v>
      </c>
      <c r="P151" s="28">
        <v>15</v>
      </c>
      <c r="Q151" s="28">
        <v>182</v>
      </c>
      <c r="R151" s="28">
        <v>66.599999999999994</v>
      </c>
      <c r="S151" s="28">
        <v>41</v>
      </c>
      <c r="T151" s="22">
        <v>261</v>
      </c>
      <c r="U151" s="25">
        <v>423</v>
      </c>
      <c r="V151" s="28">
        <v>1688</v>
      </c>
      <c r="W151" s="28">
        <v>8</v>
      </c>
      <c r="X151" s="22">
        <v>89</v>
      </c>
      <c r="Y151" s="30">
        <v>24</v>
      </c>
      <c r="Z151" s="30">
        <v>19</v>
      </c>
      <c r="AA151" s="25">
        <v>46</v>
      </c>
      <c r="AB151" s="22">
        <v>320</v>
      </c>
      <c r="AC151" s="25">
        <v>75</v>
      </c>
      <c r="AD151" s="22">
        <v>1516</v>
      </c>
      <c r="AE151" s="28">
        <v>20</v>
      </c>
      <c r="AF151" s="28">
        <v>17</v>
      </c>
      <c r="AG151" s="28">
        <v>12</v>
      </c>
      <c r="AH151" s="22">
        <v>8</v>
      </c>
      <c r="AI151" s="25">
        <v>71</v>
      </c>
      <c r="AJ151" s="22">
        <v>3067</v>
      </c>
      <c r="AK151" s="25">
        <v>398</v>
      </c>
      <c r="AL151" s="28">
        <v>4994</v>
      </c>
      <c r="AM151" s="28">
        <v>946</v>
      </c>
      <c r="AN151" s="22">
        <v>281</v>
      </c>
      <c r="AO151" s="28">
        <v>241</v>
      </c>
      <c r="AP151" s="28">
        <v>418</v>
      </c>
      <c r="AQ151" s="28">
        <v>2849</v>
      </c>
      <c r="AR151" s="28">
        <v>20</v>
      </c>
      <c r="AS151" s="28">
        <v>145</v>
      </c>
      <c r="AT151" s="28">
        <v>25</v>
      </c>
      <c r="AU151" s="22">
        <v>165</v>
      </c>
      <c r="AV151" s="25">
        <v>503</v>
      </c>
      <c r="AW151" s="28">
        <v>2145</v>
      </c>
      <c r="AX151" s="28">
        <v>16</v>
      </c>
      <c r="AY151" s="22">
        <v>103</v>
      </c>
      <c r="AZ151" s="25">
        <v>10</v>
      </c>
      <c r="BA151" s="22">
        <v>9</v>
      </c>
    </row>
    <row r="152" spans="1:53" x14ac:dyDescent="0.25">
      <c r="A152" s="4" t="s">
        <v>21</v>
      </c>
      <c r="B152" s="40">
        <v>2005</v>
      </c>
      <c r="C152" s="25">
        <v>11</v>
      </c>
      <c r="D152" s="28">
        <v>5</v>
      </c>
      <c r="E152" s="77" t="s">
        <v>97</v>
      </c>
      <c r="F152" s="28">
        <v>7.5</v>
      </c>
      <c r="G152" s="28">
        <v>5.8</v>
      </c>
      <c r="H152" s="22">
        <v>1.7</v>
      </c>
      <c r="I152" s="25">
        <v>422</v>
      </c>
      <c r="J152" s="28">
        <v>5787</v>
      </c>
      <c r="K152" s="28">
        <v>1055</v>
      </c>
      <c r="L152" s="22">
        <v>312</v>
      </c>
      <c r="M152" s="28">
        <v>294</v>
      </c>
      <c r="N152" s="28">
        <v>558</v>
      </c>
      <c r="O152" s="28">
        <v>3578</v>
      </c>
      <c r="P152" s="28">
        <v>24</v>
      </c>
      <c r="Q152" s="28">
        <v>172</v>
      </c>
      <c r="R152" s="28">
        <v>75.7</v>
      </c>
      <c r="S152" s="28">
        <v>28</v>
      </c>
      <c r="T152" s="22">
        <v>184</v>
      </c>
      <c r="U152" s="25">
        <v>469</v>
      </c>
      <c r="V152" s="28">
        <v>2209</v>
      </c>
      <c r="W152" s="28">
        <v>17</v>
      </c>
      <c r="X152" s="22">
        <v>106</v>
      </c>
      <c r="Y152" s="30">
        <v>17</v>
      </c>
      <c r="Z152" s="30">
        <v>8</v>
      </c>
      <c r="AA152" s="25">
        <v>49</v>
      </c>
      <c r="AB152" s="22">
        <v>453</v>
      </c>
      <c r="AC152" s="25">
        <v>63</v>
      </c>
      <c r="AD152" s="22">
        <v>1529</v>
      </c>
      <c r="AE152" s="28">
        <v>27</v>
      </c>
      <c r="AF152" s="28">
        <v>24</v>
      </c>
      <c r="AG152" s="28">
        <v>15</v>
      </c>
      <c r="AH152" s="22">
        <v>11</v>
      </c>
      <c r="AI152" s="25">
        <v>73</v>
      </c>
      <c r="AJ152" s="22">
        <v>3073</v>
      </c>
      <c r="AK152" s="25">
        <v>314</v>
      </c>
      <c r="AL152" s="28">
        <v>5240</v>
      </c>
      <c r="AM152" s="28">
        <v>1049</v>
      </c>
      <c r="AN152" s="22">
        <v>302</v>
      </c>
      <c r="AO152" s="28">
        <v>329</v>
      </c>
      <c r="AP152" s="28">
        <v>580</v>
      </c>
      <c r="AQ152" s="28">
        <v>3584</v>
      </c>
      <c r="AR152" s="28">
        <v>20</v>
      </c>
      <c r="AS152" s="28">
        <v>189</v>
      </c>
      <c r="AT152" s="28">
        <v>41</v>
      </c>
      <c r="AU152" s="22">
        <v>268</v>
      </c>
      <c r="AV152" s="25">
        <v>428</v>
      </c>
      <c r="AW152" s="28">
        <v>1656</v>
      </c>
      <c r="AX152" s="28">
        <v>12</v>
      </c>
      <c r="AY152" s="22">
        <v>83</v>
      </c>
      <c r="AZ152" s="25">
        <v>17</v>
      </c>
      <c r="BA152" s="22">
        <v>20</v>
      </c>
    </row>
    <row r="153" spans="1:53" x14ac:dyDescent="0.25">
      <c r="A153" s="4" t="s">
        <v>4</v>
      </c>
      <c r="B153" s="40">
        <v>2005</v>
      </c>
      <c r="C153" s="25">
        <v>4</v>
      </c>
      <c r="D153" s="28">
        <v>12</v>
      </c>
      <c r="E153" s="77" t="s">
        <v>96</v>
      </c>
      <c r="F153" s="28">
        <v>-6.4</v>
      </c>
      <c r="G153" s="28">
        <v>-5.2</v>
      </c>
      <c r="H153" s="22">
        <v>-1.2</v>
      </c>
      <c r="I153" s="25">
        <v>240</v>
      </c>
      <c r="J153" s="28">
        <v>3970</v>
      </c>
      <c r="K153" s="28">
        <v>907</v>
      </c>
      <c r="L153" s="22">
        <v>251</v>
      </c>
      <c r="M153" s="28">
        <v>268</v>
      </c>
      <c r="N153" s="28">
        <v>470</v>
      </c>
      <c r="O153" s="28">
        <v>2642</v>
      </c>
      <c r="P153" s="28">
        <v>11</v>
      </c>
      <c r="Q153" s="28">
        <v>146</v>
      </c>
      <c r="R153" s="28">
        <v>70.599999999999994</v>
      </c>
      <c r="S153" s="28">
        <v>53</v>
      </c>
      <c r="T153" s="22">
        <v>347</v>
      </c>
      <c r="U153" s="25">
        <v>384</v>
      </c>
      <c r="V153" s="28">
        <v>1328</v>
      </c>
      <c r="W153" s="28">
        <v>10</v>
      </c>
      <c r="X153" s="22">
        <v>74</v>
      </c>
      <c r="Y153" s="30">
        <v>15</v>
      </c>
      <c r="Z153" s="30">
        <v>19</v>
      </c>
      <c r="AA153" s="25">
        <v>34</v>
      </c>
      <c r="AB153" s="22">
        <v>219</v>
      </c>
      <c r="AC153" s="25">
        <v>71</v>
      </c>
      <c r="AD153" s="22">
        <v>1728</v>
      </c>
      <c r="AE153" s="28">
        <v>16</v>
      </c>
      <c r="AF153" s="28">
        <v>15</v>
      </c>
      <c r="AG153" s="28">
        <v>12</v>
      </c>
      <c r="AH153" s="22">
        <v>7</v>
      </c>
      <c r="AI153" s="25">
        <v>75</v>
      </c>
      <c r="AJ153" s="22">
        <v>3248</v>
      </c>
      <c r="AK153" s="25">
        <v>355</v>
      </c>
      <c r="AL153" s="28">
        <v>4940</v>
      </c>
      <c r="AM153" s="28">
        <v>1047</v>
      </c>
      <c r="AN153" s="22">
        <v>321</v>
      </c>
      <c r="AO153" s="28">
        <v>284</v>
      </c>
      <c r="AP153" s="28">
        <v>463</v>
      </c>
      <c r="AQ153" s="28">
        <v>2755</v>
      </c>
      <c r="AR153" s="28">
        <v>17</v>
      </c>
      <c r="AS153" s="28">
        <v>151</v>
      </c>
      <c r="AT153" s="28">
        <v>30</v>
      </c>
      <c r="AU153" s="22">
        <v>193</v>
      </c>
      <c r="AV153" s="25">
        <v>554</v>
      </c>
      <c r="AW153" s="28">
        <v>2185</v>
      </c>
      <c r="AX153" s="28">
        <v>19</v>
      </c>
      <c r="AY153" s="22">
        <v>136</v>
      </c>
      <c r="AZ153" s="25">
        <v>21</v>
      </c>
      <c r="BA153" s="22">
        <v>7</v>
      </c>
    </row>
    <row r="154" spans="1:53" x14ac:dyDescent="0.25">
      <c r="A154" s="4" t="s">
        <v>17</v>
      </c>
      <c r="B154" s="40">
        <v>2005</v>
      </c>
      <c r="C154" s="25">
        <v>4</v>
      </c>
      <c r="D154" s="28">
        <v>12</v>
      </c>
      <c r="E154" s="77" t="s">
        <v>96</v>
      </c>
      <c r="F154" s="28">
        <v>-2.8</v>
      </c>
      <c r="G154" s="28">
        <v>-1.2</v>
      </c>
      <c r="H154" s="22">
        <v>-1.6</v>
      </c>
      <c r="I154" s="25">
        <v>290</v>
      </c>
      <c r="J154" s="28">
        <v>4951</v>
      </c>
      <c r="K154" s="28">
        <v>997</v>
      </c>
      <c r="L154" s="22">
        <v>294</v>
      </c>
      <c r="M154" s="28">
        <v>316</v>
      </c>
      <c r="N154" s="28">
        <v>591</v>
      </c>
      <c r="O154" s="28">
        <v>3582</v>
      </c>
      <c r="P154" s="28">
        <v>21</v>
      </c>
      <c r="Q154" s="28">
        <v>189</v>
      </c>
      <c r="R154" s="28">
        <v>76</v>
      </c>
      <c r="S154" s="28">
        <v>45</v>
      </c>
      <c r="T154" s="22">
        <v>301</v>
      </c>
      <c r="U154" s="25">
        <v>361</v>
      </c>
      <c r="V154" s="28">
        <v>1369</v>
      </c>
      <c r="W154" s="28">
        <v>11</v>
      </c>
      <c r="X154" s="22">
        <v>80</v>
      </c>
      <c r="Y154" s="30">
        <v>14</v>
      </c>
      <c r="Z154" s="30">
        <v>9</v>
      </c>
      <c r="AA154" s="25">
        <v>37</v>
      </c>
      <c r="AB154" s="22">
        <v>206</v>
      </c>
      <c r="AC154" s="25">
        <v>80</v>
      </c>
      <c r="AD154" s="22">
        <v>1832</v>
      </c>
      <c r="AE154" s="28">
        <v>15</v>
      </c>
      <c r="AF154" s="28">
        <v>13</v>
      </c>
      <c r="AG154" s="28">
        <v>15</v>
      </c>
      <c r="AH154" s="22">
        <v>7</v>
      </c>
      <c r="AI154" s="25">
        <v>82</v>
      </c>
      <c r="AJ154" s="22">
        <v>3747</v>
      </c>
      <c r="AK154" s="25">
        <v>383</v>
      </c>
      <c r="AL154" s="28">
        <v>5292</v>
      </c>
      <c r="AM154" s="28">
        <v>1029</v>
      </c>
      <c r="AN154" s="22">
        <v>299</v>
      </c>
      <c r="AO154" s="28">
        <v>296</v>
      </c>
      <c r="AP154" s="28">
        <v>486</v>
      </c>
      <c r="AQ154" s="28">
        <v>3243</v>
      </c>
      <c r="AR154" s="28">
        <v>18</v>
      </c>
      <c r="AS154" s="28">
        <v>165</v>
      </c>
      <c r="AT154" s="28">
        <v>36</v>
      </c>
      <c r="AU154" s="22">
        <v>238</v>
      </c>
      <c r="AV154" s="25">
        <v>507</v>
      </c>
      <c r="AW154" s="28">
        <v>2049</v>
      </c>
      <c r="AX154" s="28">
        <v>18</v>
      </c>
      <c r="AY154" s="22">
        <v>100</v>
      </c>
      <c r="AZ154" s="25">
        <v>5</v>
      </c>
      <c r="BA154" s="22">
        <v>14</v>
      </c>
    </row>
    <row r="155" spans="1:53" x14ac:dyDescent="0.25">
      <c r="A155" s="4" t="s">
        <v>20</v>
      </c>
      <c r="B155" s="40">
        <v>2005</v>
      </c>
      <c r="C155" s="25">
        <v>6</v>
      </c>
      <c r="D155" s="28">
        <v>10</v>
      </c>
      <c r="E155" s="77" t="s">
        <v>96</v>
      </c>
      <c r="F155" s="28">
        <v>-2.2999999999999998</v>
      </c>
      <c r="G155" s="28">
        <v>-0.6</v>
      </c>
      <c r="H155" s="22">
        <v>-1.7</v>
      </c>
      <c r="I155" s="25">
        <v>310</v>
      </c>
      <c r="J155" s="28">
        <v>5109</v>
      </c>
      <c r="K155" s="28">
        <v>1027</v>
      </c>
      <c r="L155" s="22">
        <v>282</v>
      </c>
      <c r="M155" s="28">
        <v>337</v>
      </c>
      <c r="N155" s="28">
        <v>620</v>
      </c>
      <c r="O155" s="28">
        <v>3677</v>
      </c>
      <c r="P155" s="28">
        <v>21</v>
      </c>
      <c r="Q155" s="28">
        <v>182</v>
      </c>
      <c r="R155" s="28">
        <v>71.5</v>
      </c>
      <c r="S155" s="28">
        <v>42</v>
      </c>
      <c r="T155" s="22">
        <v>226</v>
      </c>
      <c r="U155" s="25">
        <v>365</v>
      </c>
      <c r="V155" s="28">
        <v>1432</v>
      </c>
      <c r="W155" s="28">
        <v>11</v>
      </c>
      <c r="X155" s="22">
        <v>73</v>
      </c>
      <c r="Y155" s="30">
        <v>20</v>
      </c>
      <c r="Z155" s="30">
        <v>14</v>
      </c>
      <c r="AA155" s="25">
        <v>53</v>
      </c>
      <c r="AB155" s="22">
        <v>448</v>
      </c>
      <c r="AC155" s="25">
        <v>71</v>
      </c>
      <c r="AD155" s="22">
        <v>1578</v>
      </c>
      <c r="AE155" s="28">
        <v>15</v>
      </c>
      <c r="AF155" s="28">
        <v>14</v>
      </c>
      <c r="AG155" s="28">
        <v>14</v>
      </c>
      <c r="AH155" s="22">
        <v>8</v>
      </c>
      <c r="AI155" s="25">
        <v>100</v>
      </c>
      <c r="AJ155" s="22">
        <v>4070</v>
      </c>
      <c r="AK155" s="25">
        <v>388</v>
      </c>
      <c r="AL155" s="28">
        <v>5206</v>
      </c>
      <c r="AM155" s="28">
        <v>1038</v>
      </c>
      <c r="AN155" s="22">
        <v>290</v>
      </c>
      <c r="AO155" s="28">
        <v>297</v>
      </c>
      <c r="AP155" s="28">
        <v>503</v>
      </c>
      <c r="AQ155" s="28">
        <v>3323</v>
      </c>
      <c r="AR155" s="28">
        <v>24</v>
      </c>
      <c r="AS155" s="28">
        <v>171</v>
      </c>
      <c r="AT155" s="28">
        <v>29</v>
      </c>
      <c r="AU155" s="22">
        <v>184</v>
      </c>
      <c r="AV155" s="25">
        <v>506</v>
      </c>
      <c r="AW155" s="28">
        <v>1883</v>
      </c>
      <c r="AX155" s="28">
        <v>15</v>
      </c>
      <c r="AY155" s="22">
        <v>91</v>
      </c>
      <c r="AZ155" s="25">
        <v>17</v>
      </c>
      <c r="BA155" s="22">
        <v>10</v>
      </c>
    </row>
    <row r="156" spans="1:53" x14ac:dyDescent="0.25">
      <c r="A156" s="4" t="s">
        <v>9</v>
      </c>
      <c r="B156" s="40">
        <v>2005</v>
      </c>
      <c r="C156" s="25">
        <v>11</v>
      </c>
      <c r="D156" s="28">
        <v>5</v>
      </c>
      <c r="E156" s="77" t="s">
        <v>97</v>
      </c>
      <c r="F156" s="28">
        <v>7.8</v>
      </c>
      <c r="G156" s="28">
        <v>3.8</v>
      </c>
      <c r="H156" s="22">
        <v>4</v>
      </c>
      <c r="I156" s="25">
        <v>389</v>
      </c>
      <c r="J156" s="28">
        <v>5149</v>
      </c>
      <c r="K156" s="28">
        <v>960</v>
      </c>
      <c r="L156" s="22">
        <v>297</v>
      </c>
      <c r="M156" s="28">
        <v>228</v>
      </c>
      <c r="N156" s="28">
        <v>379</v>
      </c>
      <c r="O156" s="28">
        <v>2926</v>
      </c>
      <c r="P156" s="28">
        <v>21</v>
      </c>
      <c r="Q156" s="28">
        <v>144</v>
      </c>
      <c r="R156" s="28">
        <v>89.4</v>
      </c>
      <c r="S156" s="28">
        <v>32</v>
      </c>
      <c r="T156" s="22">
        <v>178</v>
      </c>
      <c r="U156" s="25">
        <v>549</v>
      </c>
      <c r="V156" s="28">
        <v>2223</v>
      </c>
      <c r="W156" s="28">
        <v>21</v>
      </c>
      <c r="X156" s="22">
        <v>120</v>
      </c>
      <c r="Y156" s="30">
        <v>14</v>
      </c>
      <c r="Z156" s="30">
        <v>9</v>
      </c>
      <c r="AA156" s="25">
        <v>46</v>
      </c>
      <c r="AB156" s="22">
        <v>470</v>
      </c>
      <c r="AC156" s="25">
        <v>56</v>
      </c>
      <c r="AD156" s="22">
        <v>1208</v>
      </c>
      <c r="AE156" s="28">
        <v>18</v>
      </c>
      <c r="AF156" s="28">
        <v>18</v>
      </c>
      <c r="AG156" s="28">
        <v>11</v>
      </c>
      <c r="AH156" s="22">
        <v>6</v>
      </c>
      <c r="AI156" s="25">
        <v>69</v>
      </c>
      <c r="AJ156" s="22">
        <v>2877</v>
      </c>
      <c r="AK156" s="25">
        <v>258</v>
      </c>
      <c r="AL156" s="28">
        <v>4544</v>
      </c>
      <c r="AM156" s="28">
        <v>998</v>
      </c>
      <c r="AN156" s="22">
        <v>275</v>
      </c>
      <c r="AO156" s="28">
        <v>315</v>
      </c>
      <c r="AP156" s="28">
        <v>549</v>
      </c>
      <c r="AQ156" s="28">
        <v>3168</v>
      </c>
      <c r="AR156" s="28">
        <v>15</v>
      </c>
      <c r="AS156" s="28">
        <v>179</v>
      </c>
      <c r="AT156" s="28">
        <v>47</v>
      </c>
      <c r="AU156" s="22">
        <v>312</v>
      </c>
      <c r="AV156" s="25">
        <v>402</v>
      </c>
      <c r="AW156" s="28">
        <v>1376</v>
      </c>
      <c r="AX156" s="28">
        <v>10</v>
      </c>
      <c r="AY156" s="22">
        <v>75</v>
      </c>
      <c r="AZ156" s="25">
        <v>15</v>
      </c>
      <c r="BA156" s="22">
        <v>15</v>
      </c>
    </row>
    <row r="157" spans="1:53" x14ac:dyDescent="0.25">
      <c r="A157" s="4" t="s">
        <v>15</v>
      </c>
      <c r="B157" s="40">
        <v>2005</v>
      </c>
      <c r="C157" s="25">
        <v>9</v>
      </c>
      <c r="D157" s="28">
        <v>7</v>
      </c>
      <c r="E157" s="77" t="s">
        <v>96</v>
      </c>
      <c r="F157" s="28">
        <v>9.9</v>
      </c>
      <c r="G157" s="28">
        <v>7.1</v>
      </c>
      <c r="H157" s="22">
        <v>2.9</v>
      </c>
      <c r="I157" s="25">
        <v>418</v>
      </c>
      <c r="J157" s="28">
        <v>5567</v>
      </c>
      <c r="K157" s="28">
        <v>1022</v>
      </c>
      <c r="L157" s="22">
        <v>337</v>
      </c>
      <c r="M157" s="28">
        <v>338</v>
      </c>
      <c r="N157" s="28">
        <v>526</v>
      </c>
      <c r="O157" s="28">
        <v>3495</v>
      </c>
      <c r="P157" s="28">
        <v>27</v>
      </c>
      <c r="Q157" s="28">
        <v>191</v>
      </c>
      <c r="R157" s="28">
        <v>89.7</v>
      </c>
      <c r="S157" s="28">
        <v>31</v>
      </c>
      <c r="T157" s="22">
        <v>243</v>
      </c>
      <c r="U157" s="25">
        <v>465</v>
      </c>
      <c r="V157" s="28">
        <v>2072</v>
      </c>
      <c r="W157" s="28">
        <v>22</v>
      </c>
      <c r="X157" s="22">
        <v>116</v>
      </c>
      <c r="Y157" s="30">
        <v>16</v>
      </c>
      <c r="Z157" s="30">
        <v>12</v>
      </c>
      <c r="AA157" s="25">
        <v>39</v>
      </c>
      <c r="AB157" s="22">
        <v>245</v>
      </c>
      <c r="AC157" s="25">
        <v>69</v>
      </c>
      <c r="AD157" s="22">
        <v>1667</v>
      </c>
      <c r="AE157" s="28">
        <v>13</v>
      </c>
      <c r="AF157" s="28">
        <v>13</v>
      </c>
      <c r="AG157" s="28">
        <v>11</v>
      </c>
      <c r="AH157" s="22">
        <v>8</v>
      </c>
      <c r="AI157" s="25">
        <v>71</v>
      </c>
      <c r="AJ157" s="22">
        <v>3103</v>
      </c>
      <c r="AK157" s="25">
        <v>312</v>
      </c>
      <c r="AL157" s="28">
        <v>4948</v>
      </c>
      <c r="AM157" s="28">
        <v>999</v>
      </c>
      <c r="AN157" s="22">
        <v>306</v>
      </c>
      <c r="AO157" s="28">
        <v>338</v>
      </c>
      <c r="AP157" s="28">
        <v>567</v>
      </c>
      <c r="AQ157" s="28">
        <v>3599</v>
      </c>
      <c r="AR157" s="28">
        <v>20</v>
      </c>
      <c r="AS157" s="28">
        <v>189</v>
      </c>
      <c r="AT157" s="28">
        <v>46</v>
      </c>
      <c r="AU157" s="22">
        <v>289</v>
      </c>
      <c r="AV157" s="25">
        <v>386</v>
      </c>
      <c r="AW157" s="28">
        <v>1349</v>
      </c>
      <c r="AX157" s="28">
        <v>14</v>
      </c>
      <c r="AY157" s="22">
        <v>90</v>
      </c>
      <c r="AZ157" s="25">
        <v>10</v>
      </c>
      <c r="BA157" s="22">
        <v>10</v>
      </c>
    </row>
    <row r="158" spans="1:53" x14ac:dyDescent="0.25">
      <c r="A158" s="4" t="s">
        <v>32</v>
      </c>
      <c r="B158" s="40">
        <v>2005</v>
      </c>
      <c r="C158" s="25">
        <v>4</v>
      </c>
      <c r="D158" s="28">
        <v>12</v>
      </c>
      <c r="E158" s="77" t="s">
        <v>96</v>
      </c>
      <c r="F158" s="28">
        <v>-11.1</v>
      </c>
      <c r="G158" s="28">
        <v>-5.6</v>
      </c>
      <c r="H158" s="22">
        <v>-5.5</v>
      </c>
      <c r="I158" s="25">
        <v>239</v>
      </c>
      <c r="J158" s="28">
        <v>3587</v>
      </c>
      <c r="K158" s="28">
        <v>865</v>
      </c>
      <c r="L158" s="22">
        <v>191</v>
      </c>
      <c r="M158" s="28">
        <v>204</v>
      </c>
      <c r="N158" s="28">
        <v>389</v>
      </c>
      <c r="O158" s="28">
        <v>1898</v>
      </c>
      <c r="P158" s="28">
        <v>8</v>
      </c>
      <c r="Q158" s="28">
        <v>96</v>
      </c>
      <c r="R158" s="28">
        <v>53.6</v>
      </c>
      <c r="S158" s="28">
        <v>48</v>
      </c>
      <c r="T158" s="22">
        <v>292</v>
      </c>
      <c r="U158" s="25">
        <v>428</v>
      </c>
      <c r="V158" s="28">
        <v>1689</v>
      </c>
      <c r="W158" s="28">
        <v>9</v>
      </c>
      <c r="X158" s="22">
        <v>70</v>
      </c>
      <c r="Y158" s="30">
        <v>21</v>
      </c>
      <c r="Z158" s="30">
        <v>14</v>
      </c>
      <c r="AA158" s="25">
        <v>28</v>
      </c>
      <c r="AB158" s="22">
        <v>212</v>
      </c>
      <c r="AC158" s="25">
        <v>81</v>
      </c>
      <c r="AD158" s="22">
        <v>1540</v>
      </c>
      <c r="AE158" s="28">
        <v>16</v>
      </c>
      <c r="AF158" s="28">
        <v>14</v>
      </c>
      <c r="AG158" s="28">
        <v>13</v>
      </c>
      <c r="AH158" s="22">
        <v>12</v>
      </c>
      <c r="AI158" s="25">
        <v>108</v>
      </c>
      <c r="AJ158" s="22">
        <v>4450</v>
      </c>
      <c r="AK158" s="25">
        <v>428</v>
      </c>
      <c r="AL158" s="28">
        <v>6259</v>
      </c>
      <c r="AM158" s="28">
        <v>1090</v>
      </c>
      <c r="AN158" s="22">
        <v>335</v>
      </c>
      <c r="AO158" s="28">
        <v>374</v>
      </c>
      <c r="AP158" s="28">
        <v>576</v>
      </c>
      <c r="AQ158" s="28">
        <v>4427</v>
      </c>
      <c r="AR158" s="28">
        <v>28</v>
      </c>
      <c r="AS158" s="28">
        <v>205</v>
      </c>
      <c r="AT158" s="28">
        <v>28</v>
      </c>
      <c r="AU158" s="22">
        <v>193</v>
      </c>
      <c r="AV158" s="25">
        <v>486</v>
      </c>
      <c r="AW158" s="28">
        <v>1832</v>
      </c>
      <c r="AX158" s="28">
        <v>19</v>
      </c>
      <c r="AY158" s="22">
        <v>115</v>
      </c>
      <c r="AZ158" s="25">
        <v>16</v>
      </c>
      <c r="BA158" s="22">
        <v>10</v>
      </c>
    </row>
    <row r="159" spans="1:53" x14ac:dyDescent="0.25">
      <c r="A159" s="4" t="s">
        <v>33</v>
      </c>
      <c r="B159" s="40">
        <v>2005</v>
      </c>
      <c r="C159" s="25">
        <v>13</v>
      </c>
      <c r="D159" s="28">
        <v>3</v>
      </c>
      <c r="E159" s="77" t="s">
        <v>97</v>
      </c>
      <c r="F159" s="28">
        <v>9.1</v>
      </c>
      <c r="G159" s="28">
        <v>5.8</v>
      </c>
      <c r="H159" s="22">
        <v>3.4</v>
      </c>
      <c r="I159" s="25">
        <v>452</v>
      </c>
      <c r="J159" s="28">
        <v>5915</v>
      </c>
      <c r="K159" s="28">
        <v>1020</v>
      </c>
      <c r="L159" s="22">
        <v>361</v>
      </c>
      <c r="M159" s="28">
        <v>307</v>
      </c>
      <c r="N159" s="28">
        <v>474</v>
      </c>
      <c r="O159" s="28">
        <v>3458</v>
      </c>
      <c r="P159" s="28">
        <v>25</v>
      </c>
      <c r="Q159" s="28">
        <v>192</v>
      </c>
      <c r="R159" s="28">
        <v>96.8</v>
      </c>
      <c r="S159" s="28">
        <v>27</v>
      </c>
      <c r="T159" s="22">
        <v>174</v>
      </c>
      <c r="U159" s="25">
        <v>519</v>
      </c>
      <c r="V159" s="28">
        <v>2457</v>
      </c>
      <c r="W159" s="28">
        <v>29</v>
      </c>
      <c r="X159" s="22">
        <v>142</v>
      </c>
      <c r="Y159" s="30">
        <v>10</v>
      </c>
      <c r="Z159" s="30">
        <v>7</v>
      </c>
      <c r="AA159" s="25">
        <v>31</v>
      </c>
      <c r="AB159" s="22">
        <v>177</v>
      </c>
      <c r="AC159" s="25">
        <v>61</v>
      </c>
      <c r="AD159" s="22">
        <v>1347</v>
      </c>
      <c r="AE159" s="28">
        <v>10</v>
      </c>
      <c r="AF159" s="28">
        <v>9</v>
      </c>
      <c r="AG159" s="28">
        <v>15</v>
      </c>
      <c r="AH159" s="22">
        <v>9</v>
      </c>
      <c r="AI159" s="25">
        <v>80</v>
      </c>
      <c r="AJ159" s="22">
        <v>3280</v>
      </c>
      <c r="AK159" s="25">
        <v>271</v>
      </c>
      <c r="AL159" s="28">
        <v>5069</v>
      </c>
      <c r="AM159" s="28">
        <v>1041</v>
      </c>
      <c r="AN159" s="22">
        <v>295</v>
      </c>
      <c r="AO159" s="28">
        <v>331</v>
      </c>
      <c r="AP159" s="28">
        <v>571</v>
      </c>
      <c r="AQ159" s="28">
        <v>3559</v>
      </c>
      <c r="AR159" s="28">
        <v>18</v>
      </c>
      <c r="AS159" s="28">
        <v>194</v>
      </c>
      <c r="AT159" s="28">
        <v>50</v>
      </c>
      <c r="AU159" s="22">
        <v>302</v>
      </c>
      <c r="AV159" s="25">
        <v>420</v>
      </c>
      <c r="AW159" s="28">
        <v>1510</v>
      </c>
      <c r="AX159" s="28">
        <v>5</v>
      </c>
      <c r="AY159" s="22">
        <v>78</v>
      </c>
      <c r="AZ159" s="25">
        <v>16</v>
      </c>
      <c r="BA159" s="22">
        <v>11</v>
      </c>
    </row>
    <row r="160" spans="1:53" x14ac:dyDescent="0.25">
      <c r="A160" s="4" t="s">
        <v>34</v>
      </c>
      <c r="B160" s="40">
        <v>2005</v>
      </c>
      <c r="C160" s="25">
        <v>6</v>
      </c>
      <c r="D160" s="28">
        <v>10</v>
      </c>
      <c r="E160" s="77" t="s">
        <v>96</v>
      </c>
      <c r="F160" s="28">
        <v>-5.0999999999999996</v>
      </c>
      <c r="G160" s="28">
        <v>1.3</v>
      </c>
      <c r="H160" s="22">
        <v>-6.4</v>
      </c>
      <c r="I160" s="25">
        <v>363</v>
      </c>
      <c r="J160" s="28">
        <v>5571</v>
      </c>
      <c r="K160" s="28">
        <v>1025</v>
      </c>
      <c r="L160" s="22">
        <v>314</v>
      </c>
      <c r="M160" s="28">
        <v>392</v>
      </c>
      <c r="N160" s="28">
        <v>599</v>
      </c>
      <c r="O160" s="28">
        <v>4036</v>
      </c>
      <c r="P160" s="28">
        <v>23</v>
      </c>
      <c r="Q160" s="28">
        <v>209</v>
      </c>
      <c r="R160" s="28">
        <v>83</v>
      </c>
      <c r="S160" s="28">
        <v>46</v>
      </c>
      <c r="T160" s="22">
        <v>315</v>
      </c>
      <c r="U160" s="25">
        <v>380</v>
      </c>
      <c r="V160" s="28">
        <v>1535</v>
      </c>
      <c r="W160" s="28">
        <v>13</v>
      </c>
      <c r="X160" s="22">
        <v>82</v>
      </c>
      <c r="Y160" s="30">
        <v>24</v>
      </c>
      <c r="Z160" s="30">
        <v>13</v>
      </c>
      <c r="AA160" s="25">
        <v>30</v>
      </c>
      <c r="AB160" s="22">
        <v>175</v>
      </c>
      <c r="AC160" s="25">
        <v>74</v>
      </c>
      <c r="AD160" s="22">
        <v>1580</v>
      </c>
      <c r="AE160" s="28">
        <v>15</v>
      </c>
      <c r="AF160" s="28">
        <v>14</v>
      </c>
      <c r="AG160" s="28">
        <v>16</v>
      </c>
      <c r="AH160" s="22">
        <v>13</v>
      </c>
      <c r="AI160" s="25">
        <v>73</v>
      </c>
      <c r="AJ160" s="22">
        <v>3008</v>
      </c>
      <c r="AK160" s="25">
        <v>429</v>
      </c>
      <c r="AL160" s="28">
        <v>5602</v>
      </c>
      <c r="AM160" s="28">
        <v>1007</v>
      </c>
      <c r="AN160" s="22">
        <v>321</v>
      </c>
      <c r="AO160" s="28">
        <v>314</v>
      </c>
      <c r="AP160" s="28">
        <v>507</v>
      </c>
      <c r="AQ160" s="28">
        <v>3424</v>
      </c>
      <c r="AR160" s="28">
        <v>26</v>
      </c>
      <c r="AS160" s="28">
        <v>178</v>
      </c>
      <c r="AT160" s="28">
        <v>41</v>
      </c>
      <c r="AU160" s="22">
        <v>195</v>
      </c>
      <c r="AV160" s="25">
        <v>459</v>
      </c>
      <c r="AW160" s="28">
        <v>2178</v>
      </c>
      <c r="AX160" s="28">
        <v>22</v>
      </c>
      <c r="AY160" s="22">
        <v>116</v>
      </c>
      <c r="AZ160" s="25">
        <v>13</v>
      </c>
      <c r="BA160" s="22">
        <v>14</v>
      </c>
    </row>
    <row r="161" spans="1:53" x14ac:dyDescent="0.25">
      <c r="A161" s="4" t="s">
        <v>30</v>
      </c>
      <c r="B161" s="40">
        <v>2005</v>
      </c>
      <c r="C161" s="25">
        <v>11</v>
      </c>
      <c r="D161" s="28">
        <v>5</v>
      </c>
      <c r="E161" s="77" t="s">
        <v>97</v>
      </c>
      <c r="F161" s="28">
        <v>-1</v>
      </c>
      <c r="G161" s="28">
        <v>-2.8</v>
      </c>
      <c r="H161" s="22">
        <v>1.8</v>
      </c>
      <c r="I161" s="25">
        <v>300</v>
      </c>
      <c r="J161" s="28">
        <v>4716</v>
      </c>
      <c r="K161" s="28">
        <v>985</v>
      </c>
      <c r="L161" s="22">
        <v>268</v>
      </c>
      <c r="M161" s="28">
        <v>303</v>
      </c>
      <c r="N161" s="28">
        <v>487</v>
      </c>
      <c r="O161" s="28">
        <v>2890</v>
      </c>
      <c r="P161" s="28">
        <v>17</v>
      </c>
      <c r="Q161" s="28">
        <v>161</v>
      </c>
      <c r="R161" s="28">
        <v>80.7</v>
      </c>
      <c r="S161" s="28">
        <v>41</v>
      </c>
      <c r="T161" s="22">
        <v>281</v>
      </c>
      <c r="U161" s="25">
        <v>457</v>
      </c>
      <c r="V161" s="28">
        <v>1826</v>
      </c>
      <c r="W161" s="28">
        <v>13</v>
      </c>
      <c r="X161" s="22">
        <v>83</v>
      </c>
      <c r="Y161" s="30">
        <v>14</v>
      </c>
      <c r="Z161" s="30">
        <v>9</v>
      </c>
      <c r="AA161" s="25">
        <v>51</v>
      </c>
      <c r="AB161" s="22">
        <v>492</v>
      </c>
      <c r="AC161" s="25">
        <v>59</v>
      </c>
      <c r="AD161" s="22">
        <v>1148</v>
      </c>
      <c r="AE161" s="28">
        <v>13</v>
      </c>
      <c r="AF161" s="28">
        <v>11</v>
      </c>
      <c r="AG161" s="28">
        <v>14</v>
      </c>
      <c r="AH161" s="22">
        <v>11</v>
      </c>
      <c r="AI161" s="25">
        <v>90</v>
      </c>
      <c r="AJ161" s="22">
        <v>4104</v>
      </c>
      <c r="AK161" s="25">
        <v>274</v>
      </c>
      <c r="AL161" s="28">
        <v>4444</v>
      </c>
      <c r="AM161" s="28">
        <v>950</v>
      </c>
      <c r="AN161" s="22">
        <v>254</v>
      </c>
      <c r="AO161" s="28">
        <v>275</v>
      </c>
      <c r="AP161" s="28">
        <v>476</v>
      </c>
      <c r="AQ161" s="28">
        <v>2929</v>
      </c>
      <c r="AR161" s="28">
        <v>15</v>
      </c>
      <c r="AS161" s="28">
        <v>148</v>
      </c>
      <c r="AT161" s="28">
        <v>36</v>
      </c>
      <c r="AU161" s="22">
        <v>229</v>
      </c>
      <c r="AV161" s="25">
        <v>438</v>
      </c>
      <c r="AW161" s="28">
        <v>1515</v>
      </c>
      <c r="AX161" s="28">
        <v>10</v>
      </c>
      <c r="AY161" s="22">
        <v>75</v>
      </c>
      <c r="AZ161" s="25">
        <v>17</v>
      </c>
      <c r="BA161" s="22">
        <v>13</v>
      </c>
    </row>
    <row r="162" spans="1:53" x14ac:dyDescent="0.25">
      <c r="A162" s="4" t="s">
        <v>13</v>
      </c>
      <c r="B162" s="40">
        <v>2005</v>
      </c>
      <c r="C162" s="25">
        <v>4</v>
      </c>
      <c r="D162" s="28">
        <v>12</v>
      </c>
      <c r="E162" s="77" t="s">
        <v>96</v>
      </c>
      <c r="F162" s="28">
        <v>-7.6</v>
      </c>
      <c r="G162" s="28">
        <v>-2</v>
      </c>
      <c r="H162" s="22">
        <v>-5.5</v>
      </c>
      <c r="I162" s="25">
        <v>299</v>
      </c>
      <c r="J162" s="28">
        <v>5122</v>
      </c>
      <c r="K162" s="28">
        <v>1022</v>
      </c>
      <c r="L162" s="22">
        <v>279</v>
      </c>
      <c r="M162" s="28">
        <v>358</v>
      </c>
      <c r="N162" s="28">
        <v>594</v>
      </c>
      <c r="O162" s="28">
        <v>3597</v>
      </c>
      <c r="P162" s="28">
        <v>20</v>
      </c>
      <c r="Q162" s="28">
        <v>191</v>
      </c>
      <c r="R162" s="28">
        <v>80.3</v>
      </c>
      <c r="S162" s="28">
        <v>31</v>
      </c>
      <c r="T162" s="22">
        <v>200</v>
      </c>
      <c r="U162" s="25">
        <v>397</v>
      </c>
      <c r="V162" s="28">
        <v>1525</v>
      </c>
      <c r="W162" s="28">
        <v>8</v>
      </c>
      <c r="X162" s="22">
        <v>72</v>
      </c>
      <c r="Y162" s="30">
        <v>14</v>
      </c>
      <c r="Z162" s="30">
        <v>12</v>
      </c>
      <c r="AA162" s="25">
        <v>45</v>
      </c>
      <c r="AB162" s="22">
        <v>418</v>
      </c>
      <c r="AC162" s="25">
        <v>70</v>
      </c>
      <c r="AD162" s="22">
        <v>1697</v>
      </c>
      <c r="AE162" s="28">
        <v>17</v>
      </c>
      <c r="AF162" s="28">
        <v>16</v>
      </c>
      <c r="AG162" s="28">
        <v>12</v>
      </c>
      <c r="AH162" s="22">
        <v>7</v>
      </c>
      <c r="AI162" s="25">
        <v>78</v>
      </c>
      <c r="AJ162" s="22">
        <v>3370</v>
      </c>
      <c r="AK162" s="25">
        <v>421</v>
      </c>
      <c r="AL162" s="28">
        <v>5110</v>
      </c>
      <c r="AM162" s="28">
        <v>960</v>
      </c>
      <c r="AN162" s="22">
        <v>294</v>
      </c>
      <c r="AO162" s="28">
        <v>296</v>
      </c>
      <c r="AP162" s="28">
        <v>470</v>
      </c>
      <c r="AQ162" s="28">
        <v>3216</v>
      </c>
      <c r="AR162" s="28">
        <v>33</v>
      </c>
      <c r="AS162" s="28">
        <v>180</v>
      </c>
      <c r="AT162" s="28">
        <v>41</v>
      </c>
      <c r="AU162" s="22">
        <v>246</v>
      </c>
      <c r="AV162" s="25">
        <v>449</v>
      </c>
      <c r="AW162" s="28">
        <v>1894</v>
      </c>
      <c r="AX162" s="28">
        <v>12</v>
      </c>
      <c r="AY162" s="22">
        <v>89</v>
      </c>
      <c r="AZ162" s="25">
        <v>9</v>
      </c>
      <c r="BA162" s="22">
        <v>11</v>
      </c>
    </row>
    <row r="163" spans="1:53" ht="15.75" thickBot="1" x14ac:dyDescent="0.3">
      <c r="A163" s="6" t="s">
        <v>22</v>
      </c>
      <c r="B163" s="41">
        <v>2005</v>
      </c>
      <c r="C163" s="26">
        <v>10</v>
      </c>
      <c r="D163" s="29">
        <v>6</v>
      </c>
      <c r="E163" s="78" t="s">
        <v>97</v>
      </c>
      <c r="F163" s="29">
        <v>6</v>
      </c>
      <c r="G163" s="29">
        <v>2.6</v>
      </c>
      <c r="H163" s="23">
        <v>3.4</v>
      </c>
      <c r="I163" s="26">
        <v>359</v>
      </c>
      <c r="J163" s="29">
        <v>5289</v>
      </c>
      <c r="K163" s="29">
        <v>1037</v>
      </c>
      <c r="L163" s="23">
        <v>301</v>
      </c>
      <c r="M163" s="29">
        <v>278</v>
      </c>
      <c r="N163" s="29">
        <v>481</v>
      </c>
      <c r="O163" s="29">
        <v>3106</v>
      </c>
      <c r="P163" s="29">
        <v>25</v>
      </c>
      <c r="Q163" s="29">
        <v>166</v>
      </c>
      <c r="R163" s="29">
        <v>87</v>
      </c>
      <c r="S163" s="29">
        <v>31</v>
      </c>
      <c r="T163" s="23">
        <v>240</v>
      </c>
      <c r="U163" s="26">
        <v>525</v>
      </c>
      <c r="V163" s="29">
        <v>2183</v>
      </c>
      <c r="W163" s="29">
        <v>15</v>
      </c>
      <c r="X163" s="23">
        <v>114</v>
      </c>
      <c r="Y163" s="30">
        <v>11</v>
      </c>
      <c r="Z163" s="30">
        <v>16</v>
      </c>
      <c r="AA163" s="26">
        <v>30</v>
      </c>
      <c r="AB163" s="23">
        <v>180</v>
      </c>
      <c r="AC163" s="26">
        <v>62</v>
      </c>
      <c r="AD163" s="23">
        <v>1438</v>
      </c>
      <c r="AE163" s="29">
        <v>13</v>
      </c>
      <c r="AF163" s="29">
        <v>11</v>
      </c>
      <c r="AG163" s="29">
        <v>8</v>
      </c>
      <c r="AH163" s="23">
        <v>6</v>
      </c>
      <c r="AI163" s="26">
        <v>87</v>
      </c>
      <c r="AJ163" s="23">
        <v>3506</v>
      </c>
      <c r="AK163" s="26">
        <v>293</v>
      </c>
      <c r="AL163" s="29">
        <v>4767</v>
      </c>
      <c r="AM163" s="29">
        <v>981</v>
      </c>
      <c r="AN163" s="23">
        <v>258</v>
      </c>
      <c r="AO163" s="29">
        <v>291</v>
      </c>
      <c r="AP163" s="29">
        <v>535</v>
      </c>
      <c r="AQ163" s="29">
        <v>3081</v>
      </c>
      <c r="AR163" s="29">
        <v>15</v>
      </c>
      <c r="AS163" s="29">
        <v>158</v>
      </c>
      <c r="AT163" s="29">
        <v>35</v>
      </c>
      <c r="AU163" s="23">
        <v>237</v>
      </c>
      <c r="AV163" s="26">
        <v>411</v>
      </c>
      <c r="AW163" s="29">
        <v>1686</v>
      </c>
      <c r="AX163" s="29">
        <v>15</v>
      </c>
      <c r="AY163" s="23">
        <v>74</v>
      </c>
      <c r="AZ163" s="26">
        <v>16</v>
      </c>
      <c r="BA163" s="23">
        <v>12</v>
      </c>
    </row>
    <row r="164" spans="1:53" x14ac:dyDescent="0.25">
      <c r="A164" s="11" t="s">
        <v>31</v>
      </c>
      <c r="B164" s="39">
        <v>2004</v>
      </c>
      <c r="C164" s="24">
        <v>6</v>
      </c>
      <c r="D164" s="27">
        <v>10</v>
      </c>
      <c r="E164" s="76" t="s">
        <v>96</v>
      </c>
      <c r="F164" s="27">
        <v>-4.9000000000000004</v>
      </c>
      <c r="G164" s="27">
        <v>-5</v>
      </c>
      <c r="H164" s="21">
        <v>0.2</v>
      </c>
      <c r="I164" s="24">
        <v>284</v>
      </c>
      <c r="J164" s="27">
        <v>4550</v>
      </c>
      <c r="K164" s="27">
        <v>1047</v>
      </c>
      <c r="L164" s="21">
        <v>280</v>
      </c>
      <c r="M164" s="27">
        <v>299</v>
      </c>
      <c r="N164" s="27">
        <v>533</v>
      </c>
      <c r="O164" s="27">
        <v>2882</v>
      </c>
      <c r="P164" s="27">
        <v>14</v>
      </c>
      <c r="Q164" s="27">
        <v>152</v>
      </c>
      <c r="R164" s="27">
        <v>68.5</v>
      </c>
      <c r="S164" s="27">
        <v>39</v>
      </c>
      <c r="T164" s="21">
        <v>320</v>
      </c>
      <c r="U164" s="24">
        <v>475</v>
      </c>
      <c r="V164" s="27">
        <v>1668</v>
      </c>
      <c r="W164" s="27">
        <v>15</v>
      </c>
      <c r="X164" s="21">
        <v>86</v>
      </c>
      <c r="Y164" s="31">
        <v>18</v>
      </c>
      <c r="Z164" s="32">
        <v>11</v>
      </c>
      <c r="AA164" s="24">
        <v>49</v>
      </c>
      <c r="AB164" s="21">
        <v>329</v>
      </c>
      <c r="AC164" s="24">
        <v>65</v>
      </c>
      <c r="AD164" s="21">
        <v>1293</v>
      </c>
      <c r="AE164" s="27">
        <v>13</v>
      </c>
      <c r="AF164" s="27">
        <v>11</v>
      </c>
      <c r="AG164" s="27">
        <v>16</v>
      </c>
      <c r="AH164" s="21">
        <v>11</v>
      </c>
      <c r="AI164" s="24">
        <v>99</v>
      </c>
      <c r="AJ164" s="21">
        <v>4227</v>
      </c>
      <c r="AK164" s="24">
        <v>322</v>
      </c>
      <c r="AL164" s="27">
        <v>5141</v>
      </c>
      <c r="AM164" s="27">
        <v>993</v>
      </c>
      <c r="AN164" s="21">
        <v>282</v>
      </c>
      <c r="AO164" s="27">
        <v>271</v>
      </c>
      <c r="AP164" s="27">
        <v>505</v>
      </c>
      <c r="AQ164" s="27">
        <v>3036</v>
      </c>
      <c r="AR164" s="27">
        <v>18</v>
      </c>
      <c r="AS164" s="27">
        <v>153</v>
      </c>
      <c r="AT164" s="27">
        <v>38</v>
      </c>
      <c r="AU164" s="21">
        <v>229</v>
      </c>
      <c r="AV164" s="24">
        <v>450</v>
      </c>
      <c r="AW164" s="27">
        <v>2105</v>
      </c>
      <c r="AX164" s="27">
        <v>12</v>
      </c>
      <c r="AY164" s="21">
        <v>101</v>
      </c>
      <c r="AZ164" s="24">
        <v>15</v>
      </c>
      <c r="BA164" s="21">
        <v>15</v>
      </c>
    </row>
    <row r="165" spans="1:53" x14ac:dyDescent="0.25">
      <c r="A165" s="4" t="s">
        <v>28</v>
      </c>
      <c r="B165" s="40">
        <v>2004</v>
      </c>
      <c r="C165" s="25">
        <v>11</v>
      </c>
      <c r="D165" s="28">
        <v>5</v>
      </c>
      <c r="E165" s="77" t="s">
        <v>97</v>
      </c>
      <c r="F165" s="28">
        <v>-2.2000000000000002</v>
      </c>
      <c r="G165" s="28">
        <v>-1.8</v>
      </c>
      <c r="H165" s="22">
        <v>-0.4</v>
      </c>
      <c r="I165" s="25">
        <v>340</v>
      </c>
      <c r="J165" s="28">
        <v>5084</v>
      </c>
      <c r="K165" s="28">
        <v>969</v>
      </c>
      <c r="L165" s="22">
        <v>284</v>
      </c>
      <c r="M165" s="28">
        <v>217</v>
      </c>
      <c r="N165" s="28">
        <v>395</v>
      </c>
      <c r="O165" s="28">
        <v>2412</v>
      </c>
      <c r="P165" s="28">
        <v>15</v>
      </c>
      <c r="Q165" s="28">
        <v>120</v>
      </c>
      <c r="R165" s="28">
        <v>72</v>
      </c>
      <c r="S165" s="28">
        <v>50</v>
      </c>
      <c r="T165" s="22">
        <v>280</v>
      </c>
      <c r="U165" s="25">
        <v>524</v>
      </c>
      <c r="V165" s="28">
        <v>2672</v>
      </c>
      <c r="W165" s="28">
        <v>20</v>
      </c>
      <c r="X165" s="22">
        <v>133</v>
      </c>
      <c r="Y165" s="33">
        <v>16</v>
      </c>
      <c r="Z165" s="34">
        <v>14</v>
      </c>
      <c r="AA165" s="25">
        <v>37</v>
      </c>
      <c r="AB165" s="22">
        <v>457</v>
      </c>
      <c r="AC165" s="25">
        <v>61</v>
      </c>
      <c r="AD165" s="22">
        <v>1331</v>
      </c>
      <c r="AE165" s="28">
        <v>17</v>
      </c>
      <c r="AF165" s="28">
        <v>15</v>
      </c>
      <c r="AG165" s="28">
        <v>6</v>
      </c>
      <c r="AH165" s="22">
        <v>3</v>
      </c>
      <c r="AI165" s="25">
        <v>76</v>
      </c>
      <c r="AJ165" s="22">
        <v>3086</v>
      </c>
      <c r="AK165" s="25">
        <v>337</v>
      </c>
      <c r="AL165" s="28">
        <v>5207</v>
      </c>
      <c r="AM165" s="28">
        <v>999</v>
      </c>
      <c r="AN165" s="22">
        <v>310</v>
      </c>
      <c r="AO165" s="28">
        <v>328</v>
      </c>
      <c r="AP165" s="28">
        <v>517</v>
      </c>
      <c r="AQ165" s="28">
        <v>3526</v>
      </c>
      <c r="AR165" s="28">
        <v>19</v>
      </c>
      <c r="AS165" s="28">
        <v>183</v>
      </c>
      <c r="AT165" s="28">
        <v>48</v>
      </c>
      <c r="AU165" s="22">
        <v>312</v>
      </c>
      <c r="AV165" s="25">
        <v>434</v>
      </c>
      <c r="AW165" s="28">
        <v>1681</v>
      </c>
      <c r="AX165" s="28">
        <v>20</v>
      </c>
      <c r="AY165" s="22">
        <v>107</v>
      </c>
      <c r="AZ165" s="25">
        <v>19</v>
      </c>
      <c r="BA165" s="22">
        <v>13</v>
      </c>
    </row>
    <row r="166" spans="1:53" x14ac:dyDescent="0.25">
      <c r="A166" s="4" t="s">
        <v>8</v>
      </c>
      <c r="B166" s="40">
        <v>2004</v>
      </c>
      <c r="C166" s="25">
        <v>9</v>
      </c>
      <c r="D166" s="28">
        <v>7</v>
      </c>
      <c r="E166" s="77" t="s">
        <v>96</v>
      </c>
      <c r="F166" s="28">
        <v>6.1</v>
      </c>
      <c r="G166" s="28">
        <v>-0.6</v>
      </c>
      <c r="H166" s="22">
        <v>6.8</v>
      </c>
      <c r="I166" s="25">
        <v>317</v>
      </c>
      <c r="J166" s="28">
        <v>4375</v>
      </c>
      <c r="K166" s="28">
        <v>991</v>
      </c>
      <c r="L166" s="22">
        <v>260</v>
      </c>
      <c r="M166" s="28">
        <v>258</v>
      </c>
      <c r="N166" s="28">
        <v>465</v>
      </c>
      <c r="O166" s="28">
        <v>2312</v>
      </c>
      <c r="P166" s="28">
        <v>13</v>
      </c>
      <c r="Q166" s="28">
        <v>135</v>
      </c>
      <c r="R166" s="28">
        <v>70.7</v>
      </c>
      <c r="S166" s="28">
        <v>35</v>
      </c>
      <c r="T166" s="22">
        <v>247</v>
      </c>
      <c r="U166" s="25">
        <v>491</v>
      </c>
      <c r="V166" s="28">
        <v>2063</v>
      </c>
      <c r="W166" s="28">
        <v>11</v>
      </c>
      <c r="X166" s="22">
        <v>103</v>
      </c>
      <c r="Y166" s="33">
        <v>11</v>
      </c>
      <c r="Z166" s="34">
        <v>12</v>
      </c>
      <c r="AA166" s="25">
        <v>60</v>
      </c>
      <c r="AB166" s="22">
        <v>616</v>
      </c>
      <c r="AC166" s="25">
        <v>61</v>
      </c>
      <c r="AD166" s="22">
        <v>1264</v>
      </c>
      <c r="AE166" s="28">
        <v>19</v>
      </c>
      <c r="AF166" s="28">
        <v>18</v>
      </c>
      <c r="AG166" s="28">
        <v>13</v>
      </c>
      <c r="AH166" s="22">
        <v>11</v>
      </c>
      <c r="AI166" s="25">
        <v>97</v>
      </c>
      <c r="AJ166" s="22">
        <v>3938</v>
      </c>
      <c r="AK166" s="25">
        <v>268</v>
      </c>
      <c r="AL166" s="28">
        <v>4803</v>
      </c>
      <c r="AM166" s="28">
        <v>1009</v>
      </c>
      <c r="AN166" s="22">
        <v>272</v>
      </c>
      <c r="AO166" s="28">
        <v>276</v>
      </c>
      <c r="AP166" s="28">
        <v>501</v>
      </c>
      <c r="AQ166" s="28">
        <v>3122</v>
      </c>
      <c r="AR166" s="28">
        <v>14</v>
      </c>
      <c r="AS166" s="28">
        <v>158</v>
      </c>
      <c r="AT166" s="28">
        <v>39</v>
      </c>
      <c r="AU166" s="22">
        <v>264</v>
      </c>
      <c r="AV166" s="25">
        <v>469</v>
      </c>
      <c r="AW166" s="28">
        <v>1681</v>
      </c>
      <c r="AX166" s="28">
        <v>9</v>
      </c>
      <c r="AY166" s="22">
        <v>88</v>
      </c>
      <c r="AZ166" s="25">
        <v>21</v>
      </c>
      <c r="BA166" s="22">
        <v>13</v>
      </c>
    </row>
    <row r="167" spans="1:53" x14ac:dyDescent="0.25">
      <c r="A167" s="4" t="s">
        <v>6</v>
      </c>
      <c r="B167" s="40">
        <v>2004</v>
      </c>
      <c r="C167" s="25">
        <v>9</v>
      </c>
      <c r="D167" s="28">
        <v>7</v>
      </c>
      <c r="E167" s="77" t="s">
        <v>96</v>
      </c>
      <c r="F167" s="28">
        <v>8.1</v>
      </c>
      <c r="G167" s="28">
        <v>4.5999999999999996</v>
      </c>
      <c r="H167" s="22">
        <v>3.5</v>
      </c>
      <c r="I167" s="25">
        <v>395</v>
      </c>
      <c r="J167" s="28">
        <v>4691</v>
      </c>
      <c r="K167" s="28">
        <v>982</v>
      </c>
      <c r="L167" s="22">
        <v>271</v>
      </c>
      <c r="M167" s="28">
        <v>262</v>
      </c>
      <c r="N167" s="28">
        <v>461</v>
      </c>
      <c r="O167" s="28">
        <v>2817</v>
      </c>
      <c r="P167" s="28">
        <v>21</v>
      </c>
      <c r="Q167" s="28">
        <v>149</v>
      </c>
      <c r="R167" s="28">
        <v>76.7</v>
      </c>
      <c r="S167" s="28">
        <v>38</v>
      </c>
      <c r="T167" s="22">
        <v>215</v>
      </c>
      <c r="U167" s="25">
        <v>483</v>
      </c>
      <c r="V167" s="28">
        <v>1874</v>
      </c>
      <c r="W167" s="28">
        <v>15</v>
      </c>
      <c r="X167" s="22">
        <v>102</v>
      </c>
      <c r="Y167" s="33">
        <v>17</v>
      </c>
      <c r="Z167" s="34">
        <v>12</v>
      </c>
      <c r="AA167" s="25">
        <v>46</v>
      </c>
      <c r="AB167" s="22">
        <v>491</v>
      </c>
      <c r="AC167" s="25">
        <v>63</v>
      </c>
      <c r="AD167" s="22">
        <v>1542</v>
      </c>
      <c r="AE167" s="28">
        <v>25</v>
      </c>
      <c r="AF167" s="28">
        <v>23</v>
      </c>
      <c r="AG167" s="28">
        <v>3</v>
      </c>
      <c r="AH167" s="22">
        <v>1</v>
      </c>
      <c r="AI167" s="25">
        <v>78</v>
      </c>
      <c r="AJ167" s="22">
        <v>3362</v>
      </c>
      <c r="AK167" s="25">
        <v>284</v>
      </c>
      <c r="AL167" s="28">
        <v>4228</v>
      </c>
      <c r="AM167" s="28">
        <v>978</v>
      </c>
      <c r="AN167" s="22">
        <v>258</v>
      </c>
      <c r="AO167" s="28">
        <v>261</v>
      </c>
      <c r="AP167" s="28">
        <v>486</v>
      </c>
      <c r="AQ167" s="28">
        <v>2624</v>
      </c>
      <c r="AR167" s="28">
        <v>20</v>
      </c>
      <c r="AS167" s="28">
        <v>150</v>
      </c>
      <c r="AT167" s="28">
        <v>45</v>
      </c>
      <c r="AU167" s="22">
        <v>319</v>
      </c>
      <c r="AV167" s="25">
        <v>447</v>
      </c>
      <c r="AW167" s="28">
        <v>1604</v>
      </c>
      <c r="AX167" s="28">
        <v>6</v>
      </c>
      <c r="AY167" s="22">
        <v>79</v>
      </c>
      <c r="AZ167" s="25">
        <v>24</v>
      </c>
      <c r="BA167" s="22">
        <v>15</v>
      </c>
    </row>
    <row r="168" spans="1:53" x14ac:dyDescent="0.25">
      <c r="A168" s="4" t="s">
        <v>29</v>
      </c>
      <c r="B168" s="40">
        <v>2004</v>
      </c>
      <c r="C168" s="25">
        <v>7</v>
      </c>
      <c r="D168" s="28">
        <v>9</v>
      </c>
      <c r="E168" s="77" t="s">
        <v>96</v>
      </c>
      <c r="F168" s="28">
        <v>-0.7</v>
      </c>
      <c r="G168" s="28">
        <v>-0.8</v>
      </c>
      <c r="H168" s="22">
        <v>0.1</v>
      </c>
      <c r="I168" s="25">
        <v>355</v>
      </c>
      <c r="J168" s="28">
        <v>5225</v>
      </c>
      <c r="K168" s="28">
        <v>991</v>
      </c>
      <c r="L168" s="22">
        <v>308</v>
      </c>
      <c r="M168" s="28">
        <v>311</v>
      </c>
      <c r="N168" s="28">
        <v>536</v>
      </c>
      <c r="O168" s="28">
        <v>3643</v>
      </c>
      <c r="P168" s="28">
        <v>29</v>
      </c>
      <c r="Q168" s="28">
        <v>192</v>
      </c>
      <c r="R168" s="28">
        <v>87</v>
      </c>
      <c r="S168" s="28">
        <v>33</v>
      </c>
      <c r="T168" s="22">
        <v>246</v>
      </c>
      <c r="U168" s="25">
        <v>422</v>
      </c>
      <c r="V168" s="28">
        <v>1582</v>
      </c>
      <c r="W168" s="28">
        <v>10</v>
      </c>
      <c r="X168" s="22">
        <v>85</v>
      </c>
      <c r="Y168" s="33">
        <v>15</v>
      </c>
      <c r="Z168" s="34">
        <v>11</v>
      </c>
      <c r="AA168" s="25">
        <v>28</v>
      </c>
      <c r="AB168" s="22">
        <v>165</v>
      </c>
      <c r="AC168" s="25">
        <v>61</v>
      </c>
      <c r="AD168" s="22">
        <v>1307</v>
      </c>
      <c r="AE168" s="28">
        <v>18</v>
      </c>
      <c r="AF168" s="28">
        <v>16</v>
      </c>
      <c r="AG168" s="28">
        <v>7</v>
      </c>
      <c r="AH168" s="22">
        <v>4</v>
      </c>
      <c r="AI168" s="25">
        <v>79</v>
      </c>
      <c r="AJ168" s="22">
        <v>3405</v>
      </c>
      <c r="AK168" s="25">
        <v>339</v>
      </c>
      <c r="AL168" s="28">
        <v>5382</v>
      </c>
      <c r="AM168" s="28">
        <v>1021</v>
      </c>
      <c r="AN168" s="22">
        <v>307</v>
      </c>
      <c r="AO168" s="28">
        <v>303</v>
      </c>
      <c r="AP168" s="28">
        <v>513</v>
      </c>
      <c r="AQ168" s="28">
        <v>3478</v>
      </c>
      <c r="AR168" s="28">
        <v>18</v>
      </c>
      <c r="AS168" s="28">
        <v>177</v>
      </c>
      <c r="AT168" s="28">
        <v>34</v>
      </c>
      <c r="AU168" s="22">
        <v>225</v>
      </c>
      <c r="AV168" s="25">
        <v>474</v>
      </c>
      <c r="AW168" s="28">
        <v>1904</v>
      </c>
      <c r="AX168" s="28">
        <v>19</v>
      </c>
      <c r="AY168" s="22">
        <v>98</v>
      </c>
      <c r="AZ168" s="25">
        <v>26</v>
      </c>
      <c r="BA168" s="22">
        <v>12</v>
      </c>
    </row>
    <row r="169" spans="1:53" x14ac:dyDescent="0.25">
      <c r="A169" s="4" t="s">
        <v>25</v>
      </c>
      <c r="B169" s="40">
        <v>2004</v>
      </c>
      <c r="C169" s="25">
        <v>5</v>
      </c>
      <c r="D169" s="28">
        <v>11</v>
      </c>
      <c r="E169" s="77" t="s">
        <v>96</v>
      </c>
      <c r="F169" s="28">
        <v>-8.1999999999999993</v>
      </c>
      <c r="G169" s="28">
        <v>-8.5</v>
      </c>
      <c r="H169" s="22">
        <v>0.3</v>
      </c>
      <c r="I169" s="25">
        <v>231</v>
      </c>
      <c r="J169" s="28">
        <v>3816</v>
      </c>
      <c r="K169" s="28">
        <v>967</v>
      </c>
      <c r="L169" s="22">
        <v>230</v>
      </c>
      <c r="M169" s="28">
        <v>249</v>
      </c>
      <c r="N169" s="28">
        <v>471</v>
      </c>
      <c r="O169" s="28">
        <v>2192</v>
      </c>
      <c r="P169" s="28">
        <v>9</v>
      </c>
      <c r="Q169" s="28">
        <v>121</v>
      </c>
      <c r="R169" s="28">
        <v>61.7</v>
      </c>
      <c r="S169" s="28">
        <v>66</v>
      </c>
      <c r="T169" s="22">
        <v>449</v>
      </c>
      <c r="U169" s="25">
        <v>430</v>
      </c>
      <c r="V169" s="28">
        <v>1624</v>
      </c>
      <c r="W169" s="28">
        <v>10</v>
      </c>
      <c r="X169" s="22">
        <v>84</v>
      </c>
      <c r="Y169" s="33">
        <v>16</v>
      </c>
      <c r="Z169" s="34">
        <v>21</v>
      </c>
      <c r="AA169" s="25">
        <v>46</v>
      </c>
      <c r="AB169" s="22">
        <v>510</v>
      </c>
      <c r="AC169" s="25">
        <v>74</v>
      </c>
      <c r="AD169" s="22">
        <v>1607</v>
      </c>
      <c r="AE169" s="28">
        <v>12</v>
      </c>
      <c r="AF169" s="28">
        <v>8</v>
      </c>
      <c r="AG169" s="28">
        <v>12</v>
      </c>
      <c r="AH169" s="22">
        <v>7</v>
      </c>
      <c r="AI169" s="25">
        <v>110</v>
      </c>
      <c r="AJ169" s="22">
        <v>4686</v>
      </c>
      <c r="AK169" s="25">
        <v>331</v>
      </c>
      <c r="AL169" s="28">
        <v>5390</v>
      </c>
      <c r="AM169" s="28">
        <v>1046</v>
      </c>
      <c r="AN169" s="22">
        <v>302</v>
      </c>
      <c r="AO169" s="28">
        <v>287</v>
      </c>
      <c r="AP169" s="28">
        <v>515</v>
      </c>
      <c r="AQ169" s="28">
        <v>3340</v>
      </c>
      <c r="AR169" s="28">
        <v>23</v>
      </c>
      <c r="AS169" s="28">
        <v>165</v>
      </c>
      <c r="AT169" s="28">
        <v>35</v>
      </c>
      <c r="AU169" s="22">
        <v>173</v>
      </c>
      <c r="AV169" s="25">
        <v>496</v>
      </c>
      <c r="AW169" s="28">
        <v>2050</v>
      </c>
      <c r="AX169" s="28">
        <v>9</v>
      </c>
      <c r="AY169" s="22">
        <v>109</v>
      </c>
      <c r="AZ169" s="25">
        <v>17</v>
      </c>
      <c r="BA169" s="22">
        <v>12</v>
      </c>
    </row>
    <row r="170" spans="1:53" x14ac:dyDescent="0.25">
      <c r="A170" s="4" t="s">
        <v>7</v>
      </c>
      <c r="B170" s="40">
        <v>2004</v>
      </c>
      <c r="C170" s="25">
        <v>8</v>
      </c>
      <c r="D170" s="28">
        <v>8</v>
      </c>
      <c r="E170" s="77" t="s">
        <v>96</v>
      </c>
      <c r="F170" s="28">
        <v>2.7</v>
      </c>
      <c r="G170" s="28">
        <v>4.3</v>
      </c>
      <c r="H170" s="22">
        <v>-1.6</v>
      </c>
      <c r="I170" s="25">
        <v>374</v>
      </c>
      <c r="J170" s="28">
        <v>5140</v>
      </c>
      <c r="K170" s="28">
        <v>1004</v>
      </c>
      <c r="L170" s="22">
        <v>286</v>
      </c>
      <c r="M170" s="28">
        <v>324</v>
      </c>
      <c r="N170" s="28">
        <v>536</v>
      </c>
      <c r="O170" s="28">
        <v>3301</v>
      </c>
      <c r="P170" s="28">
        <v>23</v>
      </c>
      <c r="Q170" s="28">
        <v>172</v>
      </c>
      <c r="R170" s="28">
        <v>77</v>
      </c>
      <c r="S170" s="28">
        <v>31</v>
      </c>
      <c r="T170" s="22">
        <v>219</v>
      </c>
      <c r="U170" s="25">
        <v>437</v>
      </c>
      <c r="V170" s="28">
        <v>1839</v>
      </c>
      <c r="W170" s="28">
        <v>14</v>
      </c>
      <c r="X170" s="22">
        <v>93</v>
      </c>
      <c r="Y170" s="33">
        <v>22</v>
      </c>
      <c r="Z170" s="34">
        <v>10</v>
      </c>
      <c r="AA170" s="25">
        <v>35</v>
      </c>
      <c r="AB170" s="22">
        <v>328</v>
      </c>
      <c r="AC170" s="25">
        <v>68</v>
      </c>
      <c r="AD170" s="22">
        <v>1403</v>
      </c>
      <c r="AE170" s="28">
        <v>19</v>
      </c>
      <c r="AF170" s="28">
        <v>17</v>
      </c>
      <c r="AG170" s="28">
        <v>12</v>
      </c>
      <c r="AH170" s="22">
        <v>10</v>
      </c>
      <c r="AI170" s="25">
        <v>84</v>
      </c>
      <c r="AJ170" s="22">
        <v>3503</v>
      </c>
      <c r="AK170" s="25">
        <v>372</v>
      </c>
      <c r="AL170" s="28">
        <v>5365</v>
      </c>
      <c r="AM170" s="28">
        <v>1031</v>
      </c>
      <c r="AN170" s="22">
        <v>303</v>
      </c>
      <c r="AO170" s="28">
        <v>313</v>
      </c>
      <c r="AP170" s="28">
        <v>520</v>
      </c>
      <c r="AQ170" s="28">
        <v>3303</v>
      </c>
      <c r="AR170" s="28">
        <v>23</v>
      </c>
      <c r="AS170" s="28">
        <v>158</v>
      </c>
      <c r="AT170" s="28">
        <v>37</v>
      </c>
      <c r="AU170" s="22">
        <v>257</v>
      </c>
      <c r="AV170" s="25">
        <v>474</v>
      </c>
      <c r="AW170" s="28">
        <v>2062</v>
      </c>
      <c r="AX170" s="28">
        <v>11</v>
      </c>
      <c r="AY170" s="22">
        <v>123</v>
      </c>
      <c r="AZ170" s="25">
        <v>20</v>
      </c>
      <c r="BA170" s="22">
        <v>16</v>
      </c>
    </row>
    <row r="171" spans="1:53" x14ac:dyDescent="0.25">
      <c r="A171" s="4" t="s">
        <v>10</v>
      </c>
      <c r="B171" s="40">
        <v>2004</v>
      </c>
      <c r="C171" s="25">
        <v>4</v>
      </c>
      <c r="D171" s="28">
        <v>12</v>
      </c>
      <c r="E171" s="77" t="s">
        <v>96</v>
      </c>
      <c r="F171" s="28">
        <v>-3.4</v>
      </c>
      <c r="G171" s="28">
        <v>-1.5</v>
      </c>
      <c r="H171" s="22">
        <v>-1.9</v>
      </c>
      <c r="I171" s="25">
        <v>276</v>
      </c>
      <c r="J171" s="28">
        <v>4481</v>
      </c>
      <c r="K171" s="28">
        <v>921</v>
      </c>
      <c r="L171" s="22">
        <v>245</v>
      </c>
      <c r="M171" s="28">
        <v>251</v>
      </c>
      <c r="N171" s="28">
        <v>439</v>
      </c>
      <c r="O171" s="28">
        <v>2824</v>
      </c>
      <c r="P171" s="28">
        <v>21</v>
      </c>
      <c r="Q171" s="28">
        <v>125</v>
      </c>
      <c r="R171" s="28">
        <v>74.900000000000006</v>
      </c>
      <c r="S171" s="28">
        <v>41</v>
      </c>
      <c r="T171" s="22">
        <v>252</v>
      </c>
      <c r="U171" s="25">
        <v>441</v>
      </c>
      <c r="V171" s="28">
        <v>1657</v>
      </c>
      <c r="W171" s="28">
        <v>6</v>
      </c>
      <c r="X171" s="22">
        <v>94</v>
      </c>
      <c r="Y171" s="33">
        <v>21</v>
      </c>
      <c r="Z171" s="34">
        <v>19</v>
      </c>
      <c r="AA171" s="25">
        <v>36</v>
      </c>
      <c r="AB171" s="22">
        <v>432</v>
      </c>
      <c r="AC171" s="25">
        <v>75</v>
      </c>
      <c r="AD171" s="22">
        <v>1504</v>
      </c>
      <c r="AE171" s="28">
        <v>19</v>
      </c>
      <c r="AF171" s="28">
        <v>17</v>
      </c>
      <c r="AG171" s="28">
        <v>10</v>
      </c>
      <c r="AH171" s="22">
        <v>7</v>
      </c>
      <c r="AI171" s="25">
        <v>85</v>
      </c>
      <c r="AJ171" s="22">
        <v>3400</v>
      </c>
      <c r="AK171" s="25">
        <v>390</v>
      </c>
      <c r="AL171" s="28">
        <v>5215</v>
      </c>
      <c r="AM171" s="28">
        <v>1024</v>
      </c>
      <c r="AN171" s="22">
        <v>307</v>
      </c>
      <c r="AO171" s="28">
        <v>277</v>
      </c>
      <c r="AP171" s="28">
        <v>460</v>
      </c>
      <c r="AQ171" s="28">
        <v>2901</v>
      </c>
      <c r="AR171" s="28">
        <v>17</v>
      </c>
      <c r="AS171" s="28">
        <v>144</v>
      </c>
      <c r="AT171" s="28">
        <v>32</v>
      </c>
      <c r="AU171" s="22">
        <v>190</v>
      </c>
      <c r="AV171" s="25">
        <v>532</v>
      </c>
      <c r="AW171" s="28">
        <v>2314</v>
      </c>
      <c r="AX171" s="28">
        <v>22</v>
      </c>
      <c r="AY171" s="22">
        <v>141</v>
      </c>
      <c r="AZ171" s="25">
        <v>15</v>
      </c>
      <c r="BA171" s="22">
        <v>13</v>
      </c>
    </row>
    <row r="172" spans="1:53" x14ac:dyDescent="0.25">
      <c r="A172" s="4" t="s">
        <v>19</v>
      </c>
      <c r="B172" s="40">
        <v>2004</v>
      </c>
      <c r="C172" s="25">
        <v>6</v>
      </c>
      <c r="D172" s="28">
        <v>10</v>
      </c>
      <c r="E172" s="77" t="s">
        <v>96</v>
      </c>
      <c r="F172" s="28">
        <v>-7.8</v>
      </c>
      <c r="G172" s="28">
        <v>-3</v>
      </c>
      <c r="H172" s="22">
        <v>-4.8</v>
      </c>
      <c r="I172" s="25">
        <v>293</v>
      </c>
      <c r="J172" s="28">
        <v>5197</v>
      </c>
      <c r="K172" s="28">
        <v>1004</v>
      </c>
      <c r="L172" s="22">
        <v>296</v>
      </c>
      <c r="M172" s="28">
        <v>308</v>
      </c>
      <c r="N172" s="28">
        <v>519</v>
      </c>
      <c r="O172" s="28">
        <v>3428</v>
      </c>
      <c r="P172" s="28">
        <v>19</v>
      </c>
      <c r="Q172" s="28">
        <v>171</v>
      </c>
      <c r="R172" s="28">
        <v>74.5</v>
      </c>
      <c r="S172" s="28">
        <v>36</v>
      </c>
      <c r="T172" s="22">
        <v>208</v>
      </c>
      <c r="U172" s="25">
        <v>449</v>
      </c>
      <c r="V172" s="28">
        <v>1769</v>
      </c>
      <c r="W172" s="28">
        <v>14</v>
      </c>
      <c r="X172" s="22">
        <v>101</v>
      </c>
      <c r="Y172" s="33">
        <v>23</v>
      </c>
      <c r="Z172" s="34">
        <v>14</v>
      </c>
      <c r="AA172" s="25">
        <v>44</v>
      </c>
      <c r="AB172" s="22">
        <v>390</v>
      </c>
      <c r="AC172" s="25">
        <v>78</v>
      </c>
      <c r="AD172" s="22">
        <v>1603</v>
      </c>
      <c r="AE172" s="28">
        <v>11</v>
      </c>
      <c r="AF172" s="28">
        <v>11</v>
      </c>
      <c r="AG172" s="28">
        <v>15</v>
      </c>
      <c r="AH172" s="22">
        <v>9</v>
      </c>
      <c r="AI172" s="25">
        <v>76</v>
      </c>
      <c r="AJ172" s="22">
        <v>3215</v>
      </c>
      <c r="AK172" s="25">
        <v>405</v>
      </c>
      <c r="AL172" s="28">
        <v>5285</v>
      </c>
      <c r="AM172" s="28">
        <v>960</v>
      </c>
      <c r="AN172" s="22">
        <v>297</v>
      </c>
      <c r="AO172" s="28">
        <v>310</v>
      </c>
      <c r="AP172" s="28">
        <v>502</v>
      </c>
      <c r="AQ172" s="28">
        <v>3521</v>
      </c>
      <c r="AR172" s="28">
        <v>31</v>
      </c>
      <c r="AS172" s="28">
        <v>180</v>
      </c>
      <c r="AT172" s="28">
        <v>33</v>
      </c>
      <c r="AU172" s="22">
        <v>197</v>
      </c>
      <c r="AV172" s="25">
        <v>425</v>
      </c>
      <c r="AW172" s="28">
        <v>1764</v>
      </c>
      <c r="AX172" s="28">
        <v>14</v>
      </c>
      <c r="AY172" s="22">
        <v>88</v>
      </c>
      <c r="AZ172" s="25">
        <v>13</v>
      </c>
      <c r="BA172" s="22">
        <v>9</v>
      </c>
    </row>
    <row r="173" spans="1:53" x14ac:dyDescent="0.25">
      <c r="A173" s="4" t="s">
        <v>16</v>
      </c>
      <c r="B173" s="40">
        <v>2004</v>
      </c>
      <c r="C173" s="25">
        <v>10</v>
      </c>
      <c r="D173" s="28">
        <v>6</v>
      </c>
      <c r="E173" s="77" t="s">
        <v>97</v>
      </c>
      <c r="F173" s="28">
        <v>5.9</v>
      </c>
      <c r="G173" s="28">
        <v>1.6</v>
      </c>
      <c r="H173" s="22">
        <v>4.3</v>
      </c>
      <c r="I173" s="25">
        <v>381</v>
      </c>
      <c r="J173" s="28">
        <v>6332</v>
      </c>
      <c r="K173" s="28">
        <v>1070</v>
      </c>
      <c r="L173" s="22">
        <v>351</v>
      </c>
      <c r="M173" s="28">
        <v>303</v>
      </c>
      <c r="N173" s="28">
        <v>521</v>
      </c>
      <c r="O173" s="28">
        <v>3999</v>
      </c>
      <c r="P173" s="28">
        <v>27</v>
      </c>
      <c r="Q173" s="28">
        <v>184</v>
      </c>
      <c r="R173" s="28">
        <v>84.5</v>
      </c>
      <c r="S173" s="28">
        <v>15</v>
      </c>
      <c r="T173" s="22">
        <v>90</v>
      </c>
      <c r="U173" s="25">
        <v>534</v>
      </c>
      <c r="V173" s="28">
        <v>2333</v>
      </c>
      <c r="W173" s="28">
        <v>13</v>
      </c>
      <c r="X173" s="22">
        <v>127</v>
      </c>
      <c r="Y173" s="33">
        <v>20</v>
      </c>
      <c r="Z173" s="34">
        <v>9</v>
      </c>
      <c r="AA173" s="25">
        <v>43</v>
      </c>
      <c r="AB173" s="22">
        <v>400</v>
      </c>
      <c r="AC173" s="25">
        <v>53</v>
      </c>
      <c r="AD173" s="22">
        <v>1122</v>
      </c>
      <c r="AE173" s="28">
        <v>18</v>
      </c>
      <c r="AF173" s="28">
        <v>17</v>
      </c>
      <c r="AG173" s="28">
        <v>16</v>
      </c>
      <c r="AH173" s="22">
        <v>12</v>
      </c>
      <c r="AI173" s="25">
        <v>70</v>
      </c>
      <c r="AJ173" s="22">
        <v>2835</v>
      </c>
      <c r="AK173" s="25">
        <v>304</v>
      </c>
      <c r="AL173" s="28">
        <v>4459</v>
      </c>
      <c r="AM173" s="28">
        <v>918</v>
      </c>
      <c r="AN173" s="22">
        <v>235</v>
      </c>
      <c r="AO173" s="28">
        <v>272</v>
      </c>
      <c r="AP173" s="28">
        <v>484</v>
      </c>
      <c r="AQ173" s="28">
        <v>2947</v>
      </c>
      <c r="AR173" s="28">
        <v>17</v>
      </c>
      <c r="AS173" s="28">
        <v>130</v>
      </c>
      <c r="AT173" s="28">
        <v>38</v>
      </c>
      <c r="AU173" s="22">
        <v>266</v>
      </c>
      <c r="AV173" s="25">
        <v>396</v>
      </c>
      <c r="AW173" s="28">
        <v>1512</v>
      </c>
      <c r="AX173" s="28">
        <v>16</v>
      </c>
      <c r="AY173" s="22">
        <v>83</v>
      </c>
      <c r="AZ173" s="25">
        <v>12</v>
      </c>
      <c r="BA173" s="22">
        <v>8</v>
      </c>
    </row>
    <row r="174" spans="1:53" x14ac:dyDescent="0.25">
      <c r="A174" s="4" t="s">
        <v>26</v>
      </c>
      <c r="B174" s="40">
        <v>2004</v>
      </c>
      <c r="C174" s="25">
        <v>6</v>
      </c>
      <c r="D174" s="28">
        <v>10</v>
      </c>
      <c r="E174" s="77" t="s">
        <v>96</v>
      </c>
      <c r="F174" s="28">
        <v>-5.2</v>
      </c>
      <c r="G174" s="28">
        <v>-3.8</v>
      </c>
      <c r="H174" s="22">
        <v>-1.4</v>
      </c>
      <c r="I174" s="25">
        <v>296</v>
      </c>
      <c r="J174" s="28">
        <v>4693</v>
      </c>
      <c r="K174" s="28">
        <v>949</v>
      </c>
      <c r="L174" s="22">
        <v>263</v>
      </c>
      <c r="M174" s="28">
        <v>285</v>
      </c>
      <c r="N174" s="28">
        <v>505</v>
      </c>
      <c r="O174" s="28">
        <v>2916</v>
      </c>
      <c r="P174" s="28">
        <v>19</v>
      </c>
      <c r="Q174" s="28">
        <v>142</v>
      </c>
      <c r="R174" s="28">
        <v>76.7</v>
      </c>
      <c r="S174" s="28">
        <v>37</v>
      </c>
      <c r="T174" s="22">
        <v>208</v>
      </c>
      <c r="U174" s="25">
        <v>407</v>
      </c>
      <c r="V174" s="28">
        <v>1777</v>
      </c>
      <c r="W174" s="28">
        <v>7</v>
      </c>
      <c r="X174" s="22">
        <v>92</v>
      </c>
      <c r="Y174" s="33">
        <v>13</v>
      </c>
      <c r="Z174" s="34">
        <v>7</v>
      </c>
      <c r="AA174" s="25">
        <v>40</v>
      </c>
      <c r="AB174" s="22">
        <v>420</v>
      </c>
      <c r="AC174" s="25">
        <v>66</v>
      </c>
      <c r="AD174" s="22">
        <v>1568</v>
      </c>
      <c r="AE174" s="28">
        <v>20</v>
      </c>
      <c r="AF174" s="28">
        <v>19</v>
      </c>
      <c r="AG174" s="28">
        <v>8</v>
      </c>
      <c r="AH174" s="22">
        <v>5</v>
      </c>
      <c r="AI174" s="25">
        <v>93</v>
      </c>
      <c r="AJ174" s="22">
        <v>3766</v>
      </c>
      <c r="AK174" s="25">
        <v>350</v>
      </c>
      <c r="AL174" s="28">
        <v>5401</v>
      </c>
      <c r="AM174" s="28">
        <v>1071</v>
      </c>
      <c r="AN174" s="22">
        <v>320</v>
      </c>
      <c r="AO174" s="28">
        <v>328</v>
      </c>
      <c r="AP174" s="28">
        <v>535</v>
      </c>
      <c r="AQ174" s="28">
        <v>3514</v>
      </c>
      <c r="AR174" s="28">
        <v>29</v>
      </c>
      <c r="AS174" s="28">
        <v>167</v>
      </c>
      <c r="AT174" s="28">
        <v>38</v>
      </c>
      <c r="AU174" s="22">
        <v>222</v>
      </c>
      <c r="AV174" s="25">
        <v>498</v>
      </c>
      <c r="AW174" s="28">
        <v>1887</v>
      </c>
      <c r="AX174" s="28">
        <v>10</v>
      </c>
      <c r="AY174" s="22">
        <v>118</v>
      </c>
      <c r="AZ174" s="25">
        <v>14</v>
      </c>
      <c r="BA174" s="22">
        <v>10</v>
      </c>
    </row>
    <row r="175" spans="1:53" x14ac:dyDescent="0.25">
      <c r="A175" s="4" t="s">
        <v>24</v>
      </c>
      <c r="B175" s="40">
        <v>2004</v>
      </c>
      <c r="C175" s="25">
        <v>10</v>
      </c>
      <c r="D175" s="28">
        <v>6</v>
      </c>
      <c r="E175" s="77" t="s">
        <v>97</v>
      </c>
      <c r="F175" s="28">
        <v>0.3</v>
      </c>
      <c r="G175" s="28">
        <v>4.3</v>
      </c>
      <c r="H175" s="22">
        <v>-4</v>
      </c>
      <c r="I175" s="25">
        <v>424</v>
      </c>
      <c r="J175" s="28">
        <v>6357</v>
      </c>
      <c r="K175" s="28">
        <v>1053</v>
      </c>
      <c r="L175" s="22">
        <v>354</v>
      </c>
      <c r="M175" s="28">
        <v>382</v>
      </c>
      <c r="N175" s="28">
        <v>598</v>
      </c>
      <c r="O175" s="28">
        <v>4449</v>
      </c>
      <c r="P175" s="28">
        <v>36</v>
      </c>
      <c r="Q175" s="28">
        <v>228</v>
      </c>
      <c r="R175" s="28">
        <v>93.8</v>
      </c>
      <c r="S175" s="28">
        <v>14</v>
      </c>
      <c r="T175" s="22">
        <v>101</v>
      </c>
      <c r="U175" s="25">
        <v>441</v>
      </c>
      <c r="V175" s="28">
        <v>1908</v>
      </c>
      <c r="W175" s="28">
        <v>9</v>
      </c>
      <c r="X175" s="22">
        <v>98</v>
      </c>
      <c r="Y175" s="33">
        <v>19</v>
      </c>
      <c r="Z175" s="34">
        <v>10</v>
      </c>
      <c r="AA175" s="25">
        <v>33</v>
      </c>
      <c r="AB175" s="22">
        <v>254</v>
      </c>
      <c r="AC175" s="25">
        <v>70</v>
      </c>
      <c r="AD175" s="22">
        <v>1522</v>
      </c>
      <c r="AE175" s="28">
        <v>17</v>
      </c>
      <c r="AF175" s="28">
        <v>16</v>
      </c>
      <c r="AG175" s="28">
        <v>11</v>
      </c>
      <c r="AH175" s="22">
        <v>8</v>
      </c>
      <c r="AI175" s="25">
        <v>66</v>
      </c>
      <c r="AJ175" s="22">
        <v>2647</v>
      </c>
      <c r="AK175" s="25">
        <v>380</v>
      </c>
      <c r="AL175" s="28">
        <v>5541</v>
      </c>
      <c r="AM175" s="28">
        <v>967</v>
      </c>
      <c r="AN175" s="22">
        <v>307</v>
      </c>
      <c r="AO175" s="28">
        <v>314</v>
      </c>
      <c r="AP175" s="28">
        <v>518</v>
      </c>
      <c r="AQ175" s="28">
        <v>3663</v>
      </c>
      <c r="AR175" s="28">
        <v>33</v>
      </c>
      <c r="AS175" s="28">
        <v>181</v>
      </c>
      <c r="AT175" s="28">
        <v>40</v>
      </c>
      <c r="AU175" s="22">
        <v>280</v>
      </c>
      <c r="AV175" s="25">
        <v>409</v>
      </c>
      <c r="AW175" s="28">
        <v>1878</v>
      </c>
      <c r="AX175" s="28">
        <v>12</v>
      </c>
      <c r="AY175" s="22">
        <v>92</v>
      </c>
      <c r="AZ175" s="25">
        <v>8</v>
      </c>
      <c r="BA175" s="22">
        <v>7</v>
      </c>
    </row>
    <row r="176" spans="1:53" x14ac:dyDescent="0.25">
      <c r="A176" s="4" t="s">
        <v>12</v>
      </c>
      <c r="B176" s="40">
        <v>2004</v>
      </c>
      <c r="C176" s="25">
        <v>7</v>
      </c>
      <c r="D176" s="28">
        <v>9</v>
      </c>
      <c r="E176" s="77" t="s">
        <v>96</v>
      </c>
      <c r="F176" s="28">
        <v>-0.6</v>
      </c>
      <c r="G176" s="28">
        <v>-2.4</v>
      </c>
      <c r="H176" s="22">
        <v>1.8</v>
      </c>
      <c r="I176" s="25">
        <v>309</v>
      </c>
      <c r="J176" s="28">
        <v>5128</v>
      </c>
      <c r="K176" s="28">
        <v>1001</v>
      </c>
      <c r="L176" s="22">
        <v>300</v>
      </c>
      <c r="M176" s="28">
        <v>286</v>
      </c>
      <c r="N176" s="28">
        <v>471</v>
      </c>
      <c r="O176" s="28">
        <v>3246</v>
      </c>
      <c r="P176" s="28">
        <v>16</v>
      </c>
      <c r="Q176" s="28">
        <v>174</v>
      </c>
      <c r="R176" s="28">
        <v>83</v>
      </c>
      <c r="S176" s="28">
        <v>49</v>
      </c>
      <c r="T176" s="22">
        <v>301</v>
      </c>
      <c r="U176" s="25">
        <v>481</v>
      </c>
      <c r="V176" s="28">
        <v>1882</v>
      </c>
      <c r="W176" s="28">
        <v>16</v>
      </c>
      <c r="X176" s="22">
        <v>103</v>
      </c>
      <c r="Y176" s="33">
        <v>14</v>
      </c>
      <c r="Z176" s="34">
        <v>11</v>
      </c>
      <c r="AA176" s="25">
        <v>40</v>
      </c>
      <c r="AB176" s="22">
        <v>329</v>
      </c>
      <c r="AC176" s="25">
        <v>69</v>
      </c>
      <c r="AD176" s="22">
        <v>1450</v>
      </c>
      <c r="AE176" s="28">
        <v>12</v>
      </c>
      <c r="AF176" s="28">
        <v>10</v>
      </c>
      <c r="AG176" s="28">
        <v>12</v>
      </c>
      <c r="AH176" s="22">
        <v>7</v>
      </c>
      <c r="AI176" s="25">
        <v>73</v>
      </c>
      <c r="AJ176" s="22">
        <v>3008</v>
      </c>
      <c r="AK176" s="25">
        <v>339</v>
      </c>
      <c r="AL176" s="28">
        <v>5458</v>
      </c>
      <c r="AM176" s="28">
        <v>971</v>
      </c>
      <c r="AN176" s="22">
        <v>304</v>
      </c>
      <c r="AO176" s="28">
        <v>344</v>
      </c>
      <c r="AP176" s="28">
        <v>530</v>
      </c>
      <c r="AQ176" s="28">
        <v>3615</v>
      </c>
      <c r="AR176" s="28">
        <v>32</v>
      </c>
      <c r="AS176" s="28">
        <v>194</v>
      </c>
      <c r="AT176" s="28">
        <v>24</v>
      </c>
      <c r="AU176" s="22">
        <v>161</v>
      </c>
      <c r="AV176" s="25">
        <v>417</v>
      </c>
      <c r="AW176" s="28">
        <v>1843</v>
      </c>
      <c r="AX176" s="28">
        <v>4</v>
      </c>
      <c r="AY176" s="22">
        <v>89</v>
      </c>
      <c r="AZ176" s="25">
        <v>22</v>
      </c>
      <c r="BA176" s="22">
        <v>8</v>
      </c>
    </row>
    <row r="177" spans="1:53" x14ac:dyDescent="0.25">
      <c r="A177" s="4" t="s">
        <v>11</v>
      </c>
      <c r="B177" s="40">
        <v>2004</v>
      </c>
      <c r="C177" s="25">
        <v>12</v>
      </c>
      <c r="D177" s="28">
        <v>4</v>
      </c>
      <c r="E177" s="77" t="s">
        <v>97</v>
      </c>
      <c r="F177" s="28">
        <v>11.4</v>
      </c>
      <c r="G177" s="28">
        <v>11.7</v>
      </c>
      <c r="H177" s="22">
        <v>-0.3</v>
      </c>
      <c r="I177" s="25">
        <v>522</v>
      </c>
      <c r="J177" s="28">
        <v>6475</v>
      </c>
      <c r="K177" s="28">
        <v>968</v>
      </c>
      <c r="L177" s="22">
        <v>379</v>
      </c>
      <c r="M177" s="28">
        <v>353</v>
      </c>
      <c r="N177" s="28">
        <v>527</v>
      </c>
      <c r="O177" s="28">
        <v>4623</v>
      </c>
      <c r="P177" s="28">
        <v>51</v>
      </c>
      <c r="Q177" s="28">
        <v>238</v>
      </c>
      <c r="R177" s="28">
        <v>119.7</v>
      </c>
      <c r="S177" s="28">
        <v>14</v>
      </c>
      <c r="T177" s="22">
        <v>109</v>
      </c>
      <c r="U177" s="25">
        <v>427</v>
      </c>
      <c r="V177" s="28">
        <v>1852</v>
      </c>
      <c r="W177" s="28">
        <v>10</v>
      </c>
      <c r="X177" s="22">
        <v>94</v>
      </c>
      <c r="Y177" s="33">
        <v>10</v>
      </c>
      <c r="Z177" s="34">
        <v>7</v>
      </c>
      <c r="AA177" s="25">
        <v>24</v>
      </c>
      <c r="AB177" s="22">
        <v>171</v>
      </c>
      <c r="AC177" s="25">
        <v>66</v>
      </c>
      <c r="AD177" s="22">
        <v>1545</v>
      </c>
      <c r="AE177" s="28">
        <v>17</v>
      </c>
      <c r="AF177" s="28">
        <v>15</v>
      </c>
      <c r="AG177" s="28">
        <v>9</v>
      </c>
      <c r="AH177" s="22">
        <v>5</v>
      </c>
      <c r="AI177" s="25">
        <v>54</v>
      </c>
      <c r="AJ177" s="22">
        <v>2441</v>
      </c>
      <c r="AK177" s="25">
        <v>351</v>
      </c>
      <c r="AL177" s="28">
        <v>5929</v>
      </c>
      <c r="AM177" s="28">
        <v>1042</v>
      </c>
      <c r="AN177" s="22">
        <v>331</v>
      </c>
      <c r="AO177" s="28">
        <v>364</v>
      </c>
      <c r="AP177" s="28">
        <v>557</v>
      </c>
      <c r="AQ177" s="28">
        <v>3892</v>
      </c>
      <c r="AR177" s="28">
        <v>26</v>
      </c>
      <c r="AS177" s="28">
        <v>209</v>
      </c>
      <c r="AT177" s="28">
        <v>45</v>
      </c>
      <c r="AU177" s="22">
        <v>340</v>
      </c>
      <c r="AV177" s="25">
        <v>440</v>
      </c>
      <c r="AW177" s="28">
        <v>2037</v>
      </c>
      <c r="AX177" s="28">
        <v>12</v>
      </c>
      <c r="AY177" s="22">
        <v>103</v>
      </c>
      <c r="AZ177" s="25">
        <v>19</v>
      </c>
      <c r="BA177" s="22">
        <v>17</v>
      </c>
    </row>
    <row r="178" spans="1:53" x14ac:dyDescent="0.25">
      <c r="A178" s="4" t="s">
        <v>14</v>
      </c>
      <c r="B178" s="40">
        <v>2004</v>
      </c>
      <c r="C178" s="25">
        <v>9</v>
      </c>
      <c r="D178" s="28">
        <v>7</v>
      </c>
      <c r="E178" s="77" t="s">
        <v>96</v>
      </c>
      <c r="F178" s="28">
        <v>0.8</v>
      </c>
      <c r="G178" s="28">
        <v>-5.7</v>
      </c>
      <c r="H178" s="22">
        <v>6.4</v>
      </c>
      <c r="I178" s="25">
        <v>261</v>
      </c>
      <c r="J178" s="28">
        <v>5009</v>
      </c>
      <c r="K178" s="28">
        <v>991</v>
      </c>
      <c r="L178" s="22">
        <v>279</v>
      </c>
      <c r="M178" s="28">
        <v>305</v>
      </c>
      <c r="N178" s="28">
        <v>513</v>
      </c>
      <c r="O178" s="28">
        <v>3159</v>
      </c>
      <c r="P178" s="28">
        <v>17</v>
      </c>
      <c r="Q178" s="28">
        <v>161</v>
      </c>
      <c r="R178" s="28">
        <v>80.7</v>
      </c>
      <c r="S178" s="28">
        <v>32</v>
      </c>
      <c r="T178" s="22">
        <v>156</v>
      </c>
      <c r="U178" s="25">
        <v>446</v>
      </c>
      <c r="V178" s="28">
        <v>1850</v>
      </c>
      <c r="W178" s="28">
        <v>9</v>
      </c>
      <c r="X178" s="22">
        <v>88</v>
      </c>
      <c r="Y178" s="33">
        <v>11</v>
      </c>
      <c r="Z178" s="34">
        <v>11</v>
      </c>
      <c r="AA178" s="25">
        <v>42</v>
      </c>
      <c r="AB178" s="22">
        <v>405</v>
      </c>
      <c r="AC178" s="25">
        <v>57</v>
      </c>
      <c r="AD178" s="22">
        <v>1087</v>
      </c>
      <c r="AE178" s="28">
        <v>21</v>
      </c>
      <c r="AF178" s="28">
        <v>18</v>
      </c>
      <c r="AG178" s="28">
        <v>10</v>
      </c>
      <c r="AH178" s="22">
        <v>6</v>
      </c>
      <c r="AI178" s="25">
        <v>84</v>
      </c>
      <c r="AJ178" s="22">
        <v>3595</v>
      </c>
      <c r="AK178" s="25">
        <v>280</v>
      </c>
      <c r="AL178" s="28">
        <v>5134</v>
      </c>
      <c r="AM178" s="28">
        <v>972</v>
      </c>
      <c r="AN178" s="22">
        <v>290</v>
      </c>
      <c r="AO178" s="28">
        <v>306</v>
      </c>
      <c r="AP178" s="28">
        <v>497</v>
      </c>
      <c r="AQ178" s="28">
        <v>3357</v>
      </c>
      <c r="AR178" s="28">
        <v>18</v>
      </c>
      <c r="AS178" s="28">
        <v>181</v>
      </c>
      <c r="AT178" s="28">
        <v>37</v>
      </c>
      <c r="AU178" s="22">
        <v>217</v>
      </c>
      <c r="AV178" s="25">
        <v>438</v>
      </c>
      <c r="AW178" s="28">
        <v>1777</v>
      </c>
      <c r="AX178" s="28">
        <v>7</v>
      </c>
      <c r="AY178" s="22">
        <v>83</v>
      </c>
      <c r="AZ178" s="25">
        <v>16</v>
      </c>
      <c r="BA178" s="22">
        <v>12</v>
      </c>
    </row>
    <row r="179" spans="1:53" x14ac:dyDescent="0.25">
      <c r="A179" s="4" t="s">
        <v>18</v>
      </c>
      <c r="B179" s="40">
        <v>2004</v>
      </c>
      <c r="C179" s="25">
        <v>7</v>
      </c>
      <c r="D179" s="28">
        <v>9</v>
      </c>
      <c r="E179" s="77" t="s">
        <v>96</v>
      </c>
      <c r="F179" s="28">
        <v>5.3</v>
      </c>
      <c r="G179" s="28">
        <v>10</v>
      </c>
      <c r="H179" s="22">
        <v>-4.7</v>
      </c>
      <c r="I179" s="25">
        <v>483</v>
      </c>
      <c r="J179" s="28">
        <v>6695</v>
      </c>
      <c r="K179" s="28">
        <v>1089</v>
      </c>
      <c r="L179" s="22">
        <v>398</v>
      </c>
      <c r="M179" s="28">
        <v>370</v>
      </c>
      <c r="N179" s="28">
        <v>561</v>
      </c>
      <c r="O179" s="28">
        <v>4406</v>
      </c>
      <c r="P179" s="28">
        <v>27</v>
      </c>
      <c r="Q179" s="28">
        <v>228</v>
      </c>
      <c r="R179" s="28">
        <v>94.9</v>
      </c>
      <c r="S179" s="28">
        <v>32</v>
      </c>
      <c r="T179" s="22">
        <v>227</v>
      </c>
      <c r="U179" s="25">
        <v>496</v>
      </c>
      <c r="V179" s="28">
        <v>2289</v>
      </c>
      <c r="W179" s="28">
        <v>31</v>
      </c>
      <c r="X179" s="22">
        <v>138</v>
      </c>
      <c r="Y179" s="33">
        <v>17</v>
      </c>
      <c r="Z179" s="34">
        <v>10</v>
      </c>
      <c r="AA179" s="25">
        <v>24</v>
      </c>
      <c r="AB179" s="22">
        <v>232</v>
      </c>
      <c r="AC179" s="25">
        <v>75</v>
      </c>
      <c r="AD179" s="22">
        <v>1820</v>
      </c>
      <c r="AE179" s="28">
        <v>13</v>
      </c>
      <c r="AF179" s="28">
        <v>12</v>
      </c>
      <c r="AG179" s="28">
        <v>10</v>
      </c>
      <c r="AH179" s="22">
        <v>5</v>
      </c>
      <c r="AI179" s="25">
        <v>55</v>
      </c>
      <c r="AJ179" s="22">
        <v>2172</v>
      </c>
      <c r="AK179" s="25">
        <v>435</v>
      </c>
      <c r="AL179" s="28">
        <v>6037</v>
      </c>
      <c r="AM179" s="28">
        <v>960</v>
      </c>
      <c r="AN179" s="22">
        <v>327</v>
      </c>
      <c r="AO179" s="28">
        <v>312</v>
      </c>
      <c r="AP179" s="28">
        <v>522</v>
      </c>
      <c r="AQ179" s="28">
        <v>4203</v>
      </c>
      <c r="AR179" s="28">
        <v>32</v>
      </c>
      <c r="AS179" s="28">
        <v>190</v>
      </c>
      <c r="AT179" s="28">
        <v>41</v>
      </c>
      <c r="AU179" s="22">
        <v>250</v>
      </c>
      <c r="AV179" s="25">
        <v>397</v>
      </c>
      <c r="AW179" s="28">
        <v>1834</v>
      </c>
      <c r="AX179" s="28">
        <v>18</v>
      </c>
      <c r="AY179" s="22">
        <v>97</v>
      </c>
      <c r="AZ179" s="25">
        <v>13</v>
      </c>
      <c r="BA179" s="22">
        <v>8</v>
      </c>
    </row>
    <row r="180" spans="1:53" x14ac:dyDescent="0.25">
      <c r="A180" s="4" t="s">
        <v>5</v>
      </c>
      <c r="B180" s="40">
        <v>2004</v>
      </c>
      <c r="C180" s="25">
        <v>4</v>
      </c>
      <c r="D180" s="28">
        <v>12</v>
      </c>
      <c r="E180" s="77" t="s">
        <v>96</v>
      </c>
      <c r="F180" s="28">
        <v>-2.2000000000000002</v>
      </c>
      <c r="G180" s="28">
        <v>-2.7</v>
      </c>
      <c r="H180" s="22">
        <v>0.5</v>
      </c>
      <c r="I180" s="25">
        <v>275</v>
      </c>
      <c r="J180" s="28">
        <v>4404</v>
      </c>
      <c r="K180" s="28">
        <v>1022</v>
      </c>
      <c r="L180" s="22">
        <v>267</v>
      </c>
      <c r="M180" s="28">
        <v>309</v>
      </c>
      <c r="N180" s="28">
        <v>586</v>
      </c>
      <c r="O180" s="28">
        <v>3065</v>
      </c>
      <c r="P180" s="28">
        <v>19</v>
      </c>
      <c r="Q180" s="28">
        <v>165</v>
      </c>
      <c r="R180" s="28">
        <v>62.5</v>
      </c>
      <c r="S180" s="28">
        <v>52</v>
      </c>
      <c r="T180" s="22">
        <v>326</v>
      </c>
      <c r="U180" s="25">
        <v>384</v>
      </c>
      <c r="V180" s="28">
        <v>1339</v>
      </c>
      <c r="W180" s="28">
        <v>10</v>
      </c>
      <c r="X180" s="22">
        <v>71</v>
      </c>
      <c r="Y180" s="33">
        <v>26</v>
      </c>
      <c r="Z180" s="34">
        <v>16</v>
      </c>
      <c r="AA180" s="25">
        <v>52</v>
      </c>
      <c r="AB180" s="22">
        <v>564</v>
      </c>
      <c r="AC180" s="25">
        <v>70</v>
      </c>
      <c r="AD180" s="22">
        <v>1660</v>
      </c>
      <c r="AE180" s="28">
        <v>14</v>
      </c>
      <c r="AF180" s="28">
        <v>12</v>
      </c>
      <c r="AG180" s="28">
        <v>9</v>
      </c>
      <c r="AH180" s="22">
        <v>7</v>
      </c>
      <c r="AI180" s="25">
        <v>99</v>
      </c>
      <c r="AJ180" s="22">
        <v>4108</v>
      </c>
      <c r="AK180" s="25">
        <v>354</v>
      </c>
      <c r="AL180" s="28">
        <v>4894</v>
      </c>
      <c r="AM180" s="28">
        <v>1009</v>
      </c>
      <c r="AN180" s="22">
        <v>281</v>
      </c>
      <c r="AO180" s="28">
        <v>244</v>
      </c>
      <c r="AP180" s="28">
        <v>434</v>
      </c>
      <c r="AQ180" s="28">
        <v>2592</v>
      </c>
      <c r="AR180" s="28">
        <v>20</v>
      </c>
      <c r="AS180" s="28">
        <v>139</v>
      </c>
      <c r="AT180" s="28">
        <v>36</v>
      </c>
      <c r="AU180" s="22">
        <v>223</v>
      </c>
      <c r="AV180" s="25">
        <v>539</v>
      </c>
      <c r="AW180" s="28">
        <v>2302</v>
      </c>
      <c r="AX180" s="28">
        <v>12</v>
      </c>
      <c r="AY180" s="22">
        <v>107</v>
      </c>
      <c r="AZ180" s="25">
        <v>15</v>
      </c>
      <c r="BA180" s="22">
        <v>10</v>
      </c>
    </row>
    <row r="181" spans="1:53" x14ac:dyDescent="0.25">
      <c r="A181" s="4" t="s">
        <v>23</v>
      </c>
      <c r="B181" s="40">
        <v>2004</v>
      </c>
      <c r="C181" s="25">
        <v>8</v>
      </c>
      <c r="D181" s="28">
        <v>8</v>
      </c>
      <c r="E181" s="77" t="s">
        <v>97</v>
      </c>
      <c r="F181" s="28">
        <v>-1.7</v>
      </c>
      <c r="G181" s="28">
        <v>3</v>
      </c>
      <c r="H181" s="22">
        <v>-4.7</v>
      </c>
      <c r="I181" s="25">
        <v>405</v>
      </c>
      <c r="J181" s="28">
        <v>6339</v>
      </c>
      <c r="K181" s="28">
        <v>985</v>
      </c>
      <c r="L181" s="22">
        <v>351</v>
      </c>
      <c r="M181" s="28">
        <v>380</v>
      </c>
      <c r="N181" s="28">
        <v>552</v>
      </c>
      <c r="O181" s="28">
        <v>4516</v>
      </c>
      <c r="P181" s="28">
        <v>39</v>
      </c>
      <c r="Q181" s="28">
        <v>225</v>
      </c>
      <c r="R181" s="28">
        <v>109.8</v>
      </c>
      <c r="S181" s="28">
        <v>46</v>
      </c>
      <c r="T181" s="22">
        <v>238</v>
      </c>
      <c r="U181" s="25">
        <v>387</v>
      </c>
      <c r="V181" s="28">
        <v>1823</v>
      </c>
      <c r="W181" s="28">
        <v>8</v>
      </c>
      <c r="X181" s="22">
        <v>98</v>
      </c>
      <c r="Y181" s="33">
        <v>12</v>
      </c>
      <c r="Z181" s="34">
        <v>9</v>
      </c>
      <c r="AA181" s="25">
        <v>31</v>
      </c>
      <c r="AB181" s="22">
        <v>275</v>
      </c>
      <c r="AC181" s="25">
        <v>73</v>
      </c>
      <c r="AD181" s="22">
        <v>1448</v>
      </c>
      <c r="AE181" s="28">
        <v>16</v>
      </c>
      <c r="AF181" s="28">
        <v>14</v>
      </c>
      <c r="AG181" s="28">
        <v>6</v>
      </c>
      <c r="AH181" s="22">
        <v>4</v>
      </c>
      <c r="AI181" s="25">
        <v>57</v>
      </c>
      <c r="AJ181" s="22">
        <v>2240</v>
      </c>
      <c r="AK181" s="25">
        <v>395</v>
      </c>
      <c r="AL181" s="28">
        <v>5902</v>
      </c>
      <c r="AM181" s="28">
        <v>1018</v>
      </c>
      <c r="AN181" s="22">
        <v>350</v>
      </c>
      <c r="AO181" s="28">
        <v>338</v>
      </c>
      <c r="AP181" s="28">
        <v>544</v>
      </c>
      <c r="AQ181" s="28">
        <v>3896</v>
      </c>
      <c r="AR181" s="28">
        <v>30</v>
      </c>
      <c r="AS181" s="28">
        <v>220</v>
      </c>
      <c r="AT181" s="28">
        <v>39</v>
      </c>
      <c r="AU181" s="22">
        <v>234</v>
      </c>
      <c r="AV181" s="25">
        <v>435</v>
      </c>
      <c r="AW181" s="28">
        <v>2006</v>
      </c>
      <c r="AX181" s="28">
        <v>15</v>
      </c>
      <c r="AY181" s="22">
        <v>110</v>
      </c>
      <c r="AZ181" s="25">
        <v>11</v>
      </c>
      <c r="BA181" s="22">
        <v>11</v>
      </c>
    </row>
    <row r="182" spans="1:53" x14ac:dyDescent="0.25">
      <c r="A182" s="4" t="s">
        <v>3</v>
      </c>
      <c r="B182" s="40">
        <v>2004</v>
      </c>
      <c r="C182" s="25">
        <v>14</v>
      </c>
      <c r="D182" s="28">
        <v>2</v>
      </c>
      <c r="E182" s="77" t="s">
        <v>97</v>
      </c>
      <c r="F182" s="28">
        <v>12.8</v>
      </c>
      <c r="G182" s="28">
        <v>6.3</v>
      </c>
      <c r="H182" s="22">
        <v>6.5</v>
      </c>
      <c r="I182" s="25">
        <v>437</v>
      </c>
      <c r="J182" s="28">
        <v>5722</v>
      </c>
      <c r="K182" s="28">
        <v>1035</v>
      </c>
      <c r="L182" s="22">
        <v>344</v>
      </c>
      <c r="M182" s="28">
        <v>293</v>
      </c>
      <c r="N182" s="28">
        <v>485</v>
      </c>
      <c r="O182" s="28">
        <v>3588</v>
      </c>
      <c r="P182" s="28">
        <v>29</v>
      </c>
      <c r="Q182" s="28">
        <v>193</v>
      </c>
      <c r="R182" s="28">
        <v>92.5</v>
      </c>
      <c r="S182" s="28">
        <v>26</v>
      </c>
      <c r="T182" s="22">
        <v>162</v>
      </c>
      <c r="U182" s="25">
        <v>524</v>
      </c>
      <c r="V182" s="28">
        <v>2134</v>
      </c>
      <c r="W182" s="28">
        <v>15</v>
      </c>
      <c r="X182" s="22">
        <v>120</v>
      </c>
      <c r="Y182" s="33">
        <v>14</v>
      </c>
      <c r="Z182" s="34">
        <v>13</v>
      </c>
      <c r="AA182" s="25">
        <v>40</v>
      </c>
      <c r="AB182" s="22">
        <v>230</v>
      </c>
      <c r="AC182" s="25">
        <v>56</v>
      </c>
      <c r="AD182" s="22">
        <v>1302</v>
      </c>
      <c r="AE182" s="28">
        <v>20</v>
      </c>
      <c r="AF182" s="28">
        <v>20</v>
      </c>
      <c r="AG182" s="28">
        <v>13</v>
      </c>
      <c r="AH182" s="22">
        <v>11</v>
      </c>
      <c r="AI182" s="25">
        <v>56</v>
      </c>
      <c r="AJ182" s="22">
        <v>2352</v>
      </c>
      <c r="AK182" s="25">
        <v>260</v>
      </c>
      <c r="AL182" s="28">
        <v>4972</v>
      </c>
      <c r="AM182" s="28">
        <v>988</v>
      </c>
      <c r="AN182" s="22">
        <v>290</v>
      </c>
      <c r="AO182" s="28">
        <v>315</v>
      </c>
      <c r="AP182" s="28">
        <v>538</v>
      </c>
      <c r="AQ182" s="28">
        <v>3400</v>
      </c>
      <c r="AR182" s="28">
        <v>18</v>
      </c>
      <c r="AS182" s="28">
        <v>177</v>
      </c>
      <c r="AT182" s="28">
        <v>45</v>
      </c>
      <c r="AU182" s="22">
        <v>311</v>
      </c>
      <c r="AV182" s="25">
        <v>405</v>
      </c>
      <c r="AW182" s="28">
        <v>1572</v>
      </c>
      <c r="AX182" s="28">
        <v>9</v>
      </c>
      <c r="AY182" s="22">
        <v>83</v>
      </c>
      <c r="AZ182" s="25">
        <v>20</v>
      </c>
      <c r="BA182" s="22">
        <v>16</v>
      </c>
    </row>
    <row r="183" spans="1:53" x14ac:dyDescent="0.25">
      <c r="A183" s="4" t="s">
        <v>27</v>
      </c>
      <c r="B183" s="40">
        <v>2004</v>
      </c>
      <c r="C183" s="25">
        <v>8</v>
      </c>
      <c r="D183" s="28">
        <v>8</v>
      </c>
      <c r="E183" s="77" t="s">
        <v>96</v>
      </c>
      <c r="F183" s="28">
        <v>-5.6</v>
      </c>
      <c r="G183" s="28">
        <v>-1.2</v>
      </c>
      <c r="H183" s="22">
        <v>-4.3</v>
      </c>
      <c r="I183" s="25">
        <v>348</v>
      </c>
      <c r="J183" s="28">
        <v>5193</v>
      </c>
      <c r="K183" s="28">
        <v>989</v>
      </c>
      <c r="L183" s="22">
        <v>291</v>
      </c>
      <c r="M183" s="28">
        <v>309</v>
      </c>
      <c r="N183" s="28">
        <v>542</v>
      </c>
      <c r="O183" s="28">
        <v>3587</v>
      </c>
      <c r="P183" s="28">
        <v>21</v>
      </c>
      <c r="Q183" s="28">
        <v>177</v>
      </c>
      <c r="R183" s="28">
        <v>79.5</v>
      </c>
      <c r="S183" s="28">
        <v>41</v>
      </c>
      <c r="T183" s="22">
        <v>223</v>
      </c>
      <c r="U183" s="25">
        <v>406</v>
      </c>
      <c r="V183" s="28">
        <v>1606</v>
      </c>
      <c r="W183" s="28">
        <v>15</v>
      </c>
      <c r="X183" s="22">
        <v>82</v>
      </c>
      <c r="Y183" s="33">
        <v>16</v>
      </c>
      <c r="Z183" s="34">
        <v>10</v>
      </c>
      <c r="AA183" s="25">
        <v>40</v>
      </c>
      <c r="AB183" s="22">
        <v>388</v>
      </c>
      <c r="AC183" s="25">
        <v>83</v>
      </c>
      <c r="AD183" s="22">
        <v>1879</v>
      </c>
      <c r="AE183" s="28">
        <v>18</v>
      </c>
      <c r="AF183" s="28">
        <v>15</v>
      </c>
      <c r="AG183" s="28">
        <v>9</v>
      </c>
      <c r="AH183" s="22">
        <v>7</v>
      </c>
      <c r="AI183" s="25">
        <v>85</v>
      </c>
      <c r="AJ183" s="22">
        <v>3706</v>
      </c>
      <c r="AK183" s="25">
        <v>405</v>
      </c>
      <c r="AL183" s="28">
        <v>6141</v>
      </c>
      <c r="AM183" s="28">
        <v>1067</v>
      </c>
      <c r="AN183" s="22">
        <v>343</v>
      </c>
      <c r="AO183" s="28">
        <v>324</v>
      </c>
      <c r="AP183" s="28">
        <v>545</v>
      </c>
      <c r="AQ183" s="28">
        <v>3888</v>
      </c>
      <c r="AR183" s="28">
        <v>24</v>
      </c>
      <c r="AS183" s="28">
        <v>193</v>
      </c>
      <c r="AT183" s="28">
        <v>37</v>
      </c>
      <c r="AU183" s="22">
        <v>207</v>
      </c>
      <c r="AV183" s="25">
        <v>485</v>
      </c>
      <c r="AW183" s="28">
        <v>2253</v>
      </c>
      <c r="AX183" s="28">
        <v>16</v>
      </c>
      <c r="AY183" s="22">
        <v>118</v>
      </c>
      <c r="AZ183" s="25">
        <v>13</v>
      </c>
      <c r="BA183" s="22">
        <v>20</v>
      </c>
    </row>
    <row r="184" spans="1:53" x14ac:dyDescent="0.25">
      <c r="A184" s="4" t="s">
        <v>21</v>
      </c>
      <c r="B184" s="40">
        <v>2004</v>
      </c>
      <c r="C184" s="25">
        <v>6</v>
      </c>
      <c r="D184" s="28">
        <v>10</v>
      </c>
      <c r="E184" s="77" t="s">
        <v>96</v>
      </c>
      <c r="F184" s="28">
        <v>-3.9</v>
      </c>
      <c r="G184" s="28">
        <v>-2.2999999999999998</v>
      </c>
      <c r="H184" s="22">
        <v>-1.6</v>
      </c>
      <c r="I184" s="25">
        <v>303</v>
      </c>
      <c r="J184" s="28">
        <v>4722</v>
      </c>
      <c r="K184" s="28">
        <v>951</v>
      </c>
      <c r="L184" s="22">
        <v>281</v>
      </c>
      <c r="M184" s="28">
        <v>269</v>
      </c>
      <c r="N184" s="28">
        <v>475</v>
      </c>
      <c r="O184" s="28">
        <v>2818</v>
      </c>
      <c r="P184" s="28">
        <v>12</v>
      </c>
      <c r="Q184" s="28">
        <v>143</v>
      </c>
      <c r="R184" s="28">
        <v>73.5</v>
      </c>
      <c r="S184" s="28">
        <v>52</v>
      </c>
      <c r="T184" s="22">
        <v>279</v>
      </c>
      <c r="U184" s="25">
        <v>424</v>
      </c>
      <c r="V184" s="28">
        <v>1904</v>
      </c>
      <c r="W184" s="28">
        <v>18</v>
      </c>
      <c r="X184" s="22">
        <v>105</v>
      </c>
      <c r="Y184" s="33">
        <v>13</v>
      </c>
      <c r="Z184" s="34">
        <v>11</v>
      </c>
      <c r="AA184" s="25">
        <v>38</v>
      </c>
      <c r="AB184" s="22">
        <v>253</v>
      </c>
      <c r="AC184" s="25">
        <v>66</v>
      </c>
      <c r="AD184" s="22">
        <v>1658</v>
      </c>
      <c r="AE184" s="28">
        <v>17</v>
      </c>
      <c r="AF184" s="28">
        <v>15</v>
      </c>
      <c r="AG184" s="28">
        <v>11</v>
      </c>
      <c r="AH184" s="22">
        <v>7</v>
      </c>
      <c r="AI184" s="25">
        <v>77</v>
      </c>
      <c r="AJ184" s="22">
        <v>3088</v>
      </c>
      <c r="AK184" s="25">
        <v>347</v>
      </c>
      <c r="AL184" s="28">
        <v>5187</v>
      </c>
      <c r="AM184" s="28">
        <v>1005</v>
      </c>
      <c r="AN184" s="22">
        <v>310</v>
      </c>
      <c r="AO184" s="28">
        <v>292</v>
      </c>
      <c r="AP184" s="28">
        <v>467</v>
      </c>
      <c r="AQ184" s="28">
        <v>3030</v>
      </c>
      <c r="AR184" s="28">
        <v>28</v>
      </c>
      <c r="AS184" s="28">
        <v>170</v>
      </c>
      <c r="AT184" s="28">
        <v>40</v>
      </c>
      <c r="AU184" s="22">
        <v>250</v>
      </c>
      <c r="AV184" s="25">
        <v>498</v>
      </c>
      <c r="AW184" s="28">
        <v>2157</v>
      </c>
      <c r="AX184" s="28">
        <v>13</v>
      </c>
      <c r="AY184" s="22">
        <v>112</v>
      </c>
      <c r="AZ184" s="25">
        <v>14</v>
      </c>
      <c r="BA184" s="22">
        <v>14</v>
      </c>
    </row>
    <row r="185" spans="1:53" x14ac:dyDescent="0.25">
      <c r="A185" s="4" t="s">
        <v>4</v>
      </c>
      <c r="B185" s="40">
        <v>2004</v>
      </c>
      <c r="C185" s="25">
        <v>10</v>
      </c>
      <c r="D185" s="28">
        <v>6</v>
      </c>
      <c r="E185" s="77" t="s">
        <v>97</v>
      </c>
      <c r="F185" s="28">
        <v>6.6</v>
      </c>
      <c r="G185" s="28">
        <v>0.5</v>
      </c>
      <c r="H185" s="22">
        <v>6</v>
      </c>
      <c r="I185" s="25">
        <v>333</v>
      </c>
      <c r="J185" s="28">
        <v>5438</v>
      </c>
      <c r="K185" s="28">
        <v>996</v>
      </c>
      <c r="L185" s="22">
        <v>313</v>
      </c>
      <c r="M185" s="28">
        <v>282</v>
      </c>
      <c r="N185" s="28">
        <v>438</v>
      </c>
      <c r="O185" s="28">
        <v>3050</v>
      </c>
      <c r="P185" s="28">
        <v>19</v>
      </c>
      <c r="Q185" s="28">
        <v>163</v>
      </c>
      <c r="R185" s="28">
        <v>90.5</v>
      </c>
      <c r="S185" s="28">
        <v>31</v>
      </c>
      <c r="T185" s="22">
        <v>181</v>
      </c>
      <c r="U185" s="25">
        <v>527</v>
      </c>
      <c r="V185" s="28">
        <v>2388</v>
      </c>
      <c r="W185" s="28">
        <v>15</v>
      </c>
      <c r="X185" s="22">
        <v>135</v>
      </c>
      <c r="Y185" s="33">
        <v>11</v>
      </c>
      <c r="Z185" s="34">
        <v>5</v>
      </c>
      <c r="AA185" s="25">
        <v>41</v>
      </c>
      <c r="AB185" s="22">
        <v>313</v>
      </c>
      <c r="AC185" s="25">
        <v>46</v>
      </c>
      <c r="AD185" s="22">
        <v>1038</v>
      </c>
      <c r="AE185" s="28">
        <v>16</v>
      </c>
      <c r="AF185" s="28">
        <v>13</v>
      </c>
      <c r="AG185" s="28">
        <v>13</v>
      </c>
      <c r="AH185" s="22">
        <v>11</v>
      </c>
      <c r="AI185" s="25">
        <v>80</v>
      </c>
      <c r="AJ185" s="22">
        <v>3056</v>
      </c>
      <c r="AK185" s="25">
        <v>261</v>
      </c>
      <c r="AL185" s="28">
        <v>4878</v>
      </c>
      <c r="AM185" s="28">
        <v>966</v>
      </c>
      <c r="AN185" s="22">
        <v>282</v>
      </c>
      <c r="AO185" s="28">
        <v>289</v>
      </c>
      <c r="AP185" s="28">
        <v>497</v>
      </c>
      <c r="AQ185" s="28">
        <v>3312</v>
      </c>
      <c r="AR185" s="28">
        <v>21</v>
      </c>
      <c r="AS185" s="28">
        <v>169</v>
      </c>
      <c r="AT185" s="28">
        <v>37</v>
      </c>
      <c r="AU185" s="22">
        <v>220</v>
      </c>
      <c r="AV185" s="25">
        <v>432</v>
      </c>
      <c r="AW185" s="28">
        <v>1566</v>
      </c>
      <c r="AX185" s="28">
        <v>8</v>
      </c>
      <c r="AY185" s="22">
        <v>87</v>
      </c>
      <c r="AZ185" s="25">
        <v>19</v>
      </c>
      <c r="BA185" s="22">
        <v>14</v>
      </c>
    </row>
    <row r="186" spans="1:53" x14ac:dyDescent="0.25">
      <c r="A186" s="4" t="s">
        <v>17</v>
      </c>
      <c r="B186" s="40">
        <v>2004</v>
      </c>
      <c r="C186" s="25">
        <v>5</v>
      </c>
      <c r="D186" s="28">
        <v>11</v>
      </c>
      <c r="E186" s="77" t="s">
        <v>96</v>
      </c>
      <c r="F186" s="28">
        <v>-4.3</v>
      </c>
      <c r="G186" s="28">
        <v>-0.6</v>
      </c>
      <c r="H186" s="22">
        <v>-3.7</v>
      </c>
      <c r="I186" s="25">
        <v>320</v>
      </c>
      <c r="J186" s="28">
        <v>5153</v>
      </c>
      <c r="K186" s="28">
        <v>939</v>
      </c>
      <c r="L186" s="22">
        <v>275</v>
      </c>
      <c r="M186" s="28">
        <v>330</v>
      </c>
      <c r="N186" s="28">
        <v>582</v>
      </c>
      <c r="O186" s="28">
        <v>3858</v>
      </c>
      <c r="P186" s="28">
        <v>24</v>
      </c>
      <c r="Q186" s="28">
        <v>176</v>
      </c>
      <c r="R186" s="28">
        <v>76.099999999999994</v>
      </c>
      <c r="S186" s="28">
        <v>30</v>
      </c>
      <c r="T186" s="22">
        <v>161</v>
      </c>
      <c r="U186" s="25">
        <v>327</v>
      </c>
      <c r="V186" s="28">
        <v>1295</v>
      </c>
      <c r="W186" s="28">
        <v>10</v>
      </c>
      <c r="X186" s="22">
        <v>75</v>
      </c>
      <c r="Y186" s="33">
        <v>22</v>
      </c>
      <c r="Z186" s="34">
        <v>13</v>
      </c>
      <c r="AA186" s="25">
        <v>24</v>
      </c>
      <c r="AB186" s="22">
        <v>132</v>
      </c>
      <c r="AC186" s="25">
        <v>83</v>
      </c>
      <c r="AD186" s="22">
        <v>1700</v>
      </c>
      <c r="AE186" s="28">
        <v>16</v>
      </c>
      <c r="AF186" s="28">
        <v>15</v>
      </c>
      <c r="AG186" s="28">
        <v>12</v>
      </c>
      <c r="AH186" s="22">
        <v>10</v>
      </c>
      <c r="AI186" s="25">
        <v>73</v>
      </c>
      <c r="AJ186" s="22">
        <v>3409</v>
      </c>
      <c r="AK186" s="25">
        <v>442</v>
      </c>
      <c r="AL186" s="28">
        <v>5936</v>
      </c>
      <c r="AM186" s="28">
        <v>1072</v>
      </c>
      <c r="AN186" s="22">
        <v>367</v>
      </c>
      <c r="AO186" s="28">
        <v>315</v>
      </c>
      <c r="AP186" s="28">
        <v>510</v>
      </c>
      <c r="AQ186" s="28">
        <v>3924</v>
      </c>
      <c r="AR186" s="28">
        <v>30</v>
      </c>
      <c r="AS186" s="28">
        <v>210</v>
      </c>
      <c r="AT186" s="28">
        <v>25</v>
      </c>
      <c r="AU186" s="22">
        <v>182</v>
      </c>
      <c r="AV186" s="25">
        <v>537</v>
      </c>
      <c r="AW186" s="28">
        <v>2012</v>
      </c>
      <c r="AX186" s="28">
        <v>21</v>
      </c>
      <c r="AY186" s="22">
        <v>115</v>
      </c>
      <c r="AZ186" s="25">
        <v>9</v>
      </c>
      <c r="BA186" s="22">
        <v>9</v>
      </c>
    </row>
    <row r="187" spans="1:53" x14ac:dyDescent="0.25">
      <c r="A187" s="4" t="s">
        <v>20</v>
      </c>
      <c r="B187" s="40">
        <v>2004</v>
      </c>
      <c r="C187" s="25">
        <v>13</v>
      </c>
      <c r="D187" s="28">
        <v>3</v>
      </c>
      <c r="E187" s="77" t="s">
        <v>97</v>
      </c>
      <c r="F187" s="28">
        <v>5.6</v>
      </c>
      <c r="G187" s="28">
        <v>2</v>
      </c>
      <c r="H187" s="22">
        <v>3.5</v>
      </c>
      <c r="I187" s="25">
        <v>386</v>
      </c>
      <c r="J187" s="28">
        <v>5618</v>
      </c>
      <c r="K187" s="28">
        <v>960</v>
      </c>
      <c r="L187" s="22">
        <v>301</v>
      </c>
      <c r="M187" s="28">
        <v>336</v>
      </c>
      <c r="N187" s="28">
        <v>547</v>
      </c>
      <c r="O187" s="28">
        <v>3979</v>
      </c>
      <c r="P187" s="28">
        <v>32</v>
      </c>
      <c r="Q187" s="28">
        <v>188</v>
      </c>
      <c r="R187" s="28">
        <v>96.4</v>
      </c>
      <c r="S187" s="28">
        <v>37</v>
      </c>
      <c r="T187" s="22">
        <v>229</v>
      </c>
      <c r="U187" s="25">
        <v>376</v>
      </c>
      <c r="V187" s="28">
        <v>1639</v>
      </c>
      <c r="W187" s="28">
        <v>10</v>
      </c>
      <c r="X187" s="22">
        <v>87</v>
      </c>
      <c r="Y187" s="33">
        <v>11</v>
      </c>
      <c r="Z187" s="34">
        <v>11</v>
      </c>
      <c r="AA187" s="25">
        <v>41</v>
      </c>
      <c r="AB187" s="22">
        <v>377</v>
      </c>
      <c r="AC187" s="25">
        <v>56</v>
      </c>
      <c r="AD187" s="22">
        <v>1214</v>
      </c>
      <c r="AE187" s="28">
        <v>11</v>
      </c>
      <c r="AF187" s="28">
        <v>10</v>
      </c>
      <c r="AG187" s="28">
        <v>21</v>
      </c>
      <c r="AH187" s="22">
        <v>17</v>
      </c>
      <c r="AI187" s="25">
        <v>73</v>
      </c>
      <c r="AJ187" s="22">
        <v>3066</v>
      </c>
      <c r="AK187" s="25">
        <v>260</v>
      </c>
      <c r="AL187" s="28">
        <v>5115</v>
      </c>
      <c r="AM187" s="28">
        <v>1039</v>
      </c>
      <c r="AN187" s="22">
        <v>299</v>
      </c>
      <c r="AO187" s="28">
        <v>334</v>
      </c>
      <c r="AP187" s="28">
        <v>550</v>
      </c>
      <c r="AQ187" s="28">
        <v>3212</v>
      </c>
      <c r="AR187" s="28">
        <v>16</v>
      </c>
      <c r="AS187" s="28">
        <v>165</v>
      </c>
      <c r="AT187" s="28">
        <v>47</v>
      </c>
      <c r="AU187" s="22">
        <v>263</v>
      </c>
      <c r="AV187" s="25">
        <v>442</v>
      </c>
      <c r="AW187" s="28">
        <v>1903</v>
      </c>
      <c r="AX187" s="28">
        <v>13</v>
      </c>
      <c r="AY187" s="22">
        <v>101</v>
      </c>
      <c r="AZ187" s="25">
        <v>17</v>
      </c>
      <c r="BA187" s="22">
        <v>11</v>
      </c>
    </row>
    <row r="188" spans="1:53" x14ac:dyDescent="0.25">
      <c r="A188" s="4" t="s">
        <v>9</v>
      </c>
      <c r="B188" s="40">
        <v>2004</v>
      </c>
      <c r="C188" s="25">
        <v>15</v>
      </c>
      <c r="D188" s="28">
        <v>1</v>
      </c>
      <c r="E188" s="77" t="s">
        <v>97</v>
      </c>
      <c r="F188" s="28">
        <v>9</v>
      </c>
      <c r="G188" s="28">
        <v>3.4</v>
      </c>
      <c r="H188" s="22">
        <v>5.6</v>
      </c>
      <c r="I188" s="25">
        <v>372</v>
      </c>
      <c r="J188" s="28">
        <v>5184</v>
      </c>
      <c r="K188" s="28">
        <v>1012</v>
      </c>
      <c r="L188" s="22">
        <v>309</v>
      </c>
      <c r="M188" s="28">
        <v>228</v>
      </c>
      <c r="N188" s="28">
        <v>358</v>
      </c>
      <c r="O188" s="28">
        <v>2720</v>
      </c>
      <c r="P188" s="28">
        <v>20</v>
      </c>
      <c r="Q188" s="28">
        <v>147</v>
      </c>
      <c r="R188" s="28">
        <v>93.2</v>
      </c>
      <c r="S188" s="28">
        <v>36</v>
      </c>
      <c r="T188" s="22">
        <v>250</v>
      </c>
      <c r="U188" s="25">
        <v>618</v>
      </c>
      <c r="V188" s="28">
        <v>2464</v>
      </c>
      <c r="W188" s="28">
        <v>16</v>
      </c>
      <c r="X188" s="22">
        <v>134</v>
      </c>
      <c r="Y188" s="33">
        <v>13</v>
      </c>
      <c r="Z188" s="34">
        <v>8</v>
      </c>
      <c r="AA188" s="25">
        <v>44</v>
      </c>
      <c r="AB188" s="22">
        <v>365</v>
      </c>
      <c r="AC188" s="25">
        <v>62</v>
      </c>
      <c r="AD188" s="22">
        <v>1335</v>
      </c>
      <c r="AE188" s="28">
        <v>23</v>
      </c>
      <c r="AF188" s="28">
        <v>21</v>
      </c>
      <c r="AG188" s="28">
        <v>10</v>
      </c>
      <c r="AH188" s="22">
        <v>7</v>
      </c>
      <c r="AI188" s="25">
        <v>67</v>
      </c>
      <c r="AJ188" s="22">
        <v>2881</v>
      </c>
      <c r="AK188" s="25">
        <v>251</v>
      </c>
      <c r="AL188" s="28">
        <v>4134</v>
      </c>
      <c r="AM188" s="28">
        <v>882</v>
      </c>
      <c r="AN188" s="22">
        <v>248</v>
      </c>
      <c r="AO188" s="28">
        <v>269</v>
      </c>
      <c r="AP188" s="28">
        <v>484</v>
      </c>
      <c r="AQ188" s="28">
        <v>2835</v>
      </c>
      <c r="AR188" s="28">
        <v>14</v>
      </c>
      <c r="AS188" s="28">
        <v>146</v>
      </c>
      <c r="AT188" s="28">
        <v>41</v>
      </c>
      <c r="AU188" s="22">
        <v>225</v>
      </c>
      <c r="AV188" s="25">
        <v>357</v>
      </c>
      <c r="AW188" s="28">
        <v>1299</v>
      </c>
      <c r="AX188" s="28">
        <v>8</v>
      </c>
      <c r="AY188" s="22">
        <v>79</v>
      </c>
      <c r="AZ188" s="25">
        <v>19</v>
      </c>
      <c r="BA188" s="22">
        <v>13</v>
      </c>
    </row>
    <row r="189" spans="1:53" x14ac:dyDescent="0.25">
      <c r="A189" s="4" t="s">
        <v>15</v>
      </c>
      <c r="B189" s="40">
        <v>2004</v>
      </c>
      <c r="C189" s="25">
        <v>12</v>
      </c>
      <c r="D189" s="28">
        <v>4</v>
      </c>
      <c r="E189" s="77" t="s">
        <v>97</v>
      </c>
      <c r="F189" s="28">
        <v>9.1</v>
      </c>
      <c r="G189" s="28">
        <v>6.1</v>
      </c>
      <c r="H189" s="22">
        <v>3</v>
      </c>
      <c r="I189" s="25">
        <v>446</v>
      </c>
      <c r="J189" s="28">
        <v>5542</v>
      </c>
      <c r="K189" s="28">
        <v>996</v>
      </c>
      <c r="L189" s="22">
        <v>328</v>
      </c>
      <c r="M189" s="28">
        <v>288</v>
      </c>
      <c r="N189" s="28">
        <v>450</v>
      </c>
      <c r="O189" s="28">
        <v>3357</v>
      </c>
      <c r="P189" s="28">
        <v>29</v>
      </c>
      <c r="Q189" s="28">
        <v>160</v>
      </c>
      <c r="R189" s="28">
        <v>102</v>
      </c>
      <c r="S189" s="28">
        <v>21</v>
      </c>
      <c r="T189" s="22">
        <v>149</v>
      </c>
      <c r="U189" s="25">
        <v>525</v>
      </c>
      <c r="V189" s="28">
        <v>2185</v>
      </c>
      <c r="W189" s="28">
        <v>24</v>
      </c>
      <c r="X189" s="22">
        <v>131</v>
      </c>
      <c r="Y189" s="33">
        <v>8</v>
      </c>
      <c r="Z189" s="34">
        <v>10</v>
      </c>
      <c r="AA189" s="25">
        <v>29</v>
      </c>
      <c r="AB189" s="22">
        <v>243</v>
      </c>
      <c r="AC189" s="25">
        <v>62</v>
      </c>
      <c r="AD189" s="22">
        <v>1478</v>
      </c>
      <c r="AE189" s="28">
        <v>14</v>
      </c>
      <c r="AF189" s="28">
        <v>12</v>
      </c>
      <c r="AG189" s="28">
        <v>11</v>
      </c>
      <c r="AH189" s="22">
        <v>8</v>
      </c>
      <c r="AI189" s="25">
        <v>69</v>
      </c>
      <c r="AJ189" s="22">
        <v>2974</v>
      </c>
      <c r="AK189" s="25">
        <v>313</v>
      </c>
      <c r="AL189" s="28">
        <v>5360</v>
      </c>
      <c r="AM189" s="28">
        <v>991</v>
      </c>
      <c r="AN189" s="22">
        <v>320</v>
      </c>
      <c r="AO189" s="28">
        <v>372</v>
      </c>
      <c r="AP189" s="28">
        <v>607</v>
      </c>
      <c r="AQ189" s="28">
        <v>4053</v>
      </c>
      <c r="AR189" s="28">
        <v>19</v>
      </c>
      <c r="AS189" s="28">
        <v>200</v>
      </c>
      <c r="AT189" s="28">
        <v>29</v>
      </c>
      <c r="AU189" s="22">
        <v>142</v>
      </c>
      <c r="AV189" s="25">
        <v>355</v>
      </c>
      <c r="AW189" s="28">
        <v>1307</v>
      </c>
      <c r="AX189" s="28">
        <v>15</v>
      </c>
      <c r="AY189" s="22">
        <v>79</v>
      </c>
      <c r="AZ189" s="25">
        <v>23</v>
      </c>
      <c r="BA189" s="22">
        <v>10</v>
      </c>
    </row>
    <row r="190" spans="1:53" x14ac:dyDescent="0.25">
      <c r="A190" s="4" t="s">
        <v>32</v>
      </c>
      <c r="B190" s="40">
        <v>2004</v>
      </c>
      <c r="C190" s="25">
        <v>2</v>
      </c>
      <c r="D190" s="28">
        <v>14</v>
      </c>
      <c r="E190" s="77" t="s">
        <v>96</v>
      </c>
      <c r="F190" s="28">
        <v>-13.6</v>
      </c>
      <c r="G190" s="28">
        <v>-5.0999999999999996</v>
      </c>
      <c r="H190" s="22">
        <v>-8.6</v>
      </c>
      <c r="I190" s="25">
        <v>259</v>
      </c>
      <c r="J190" s="28">
        <v>4585</v>
      </c>
      <c r="K190" s="28">
        <v>1026</v>
      </c>
      <c r="L190" s="22">
        <v>280</v>
      </c>
      <c r="M190" s="28">
        <v>325</v>
      </c>
      <c r="N190" s="28">
        <v>561</v>
      </c>
      <c r="O190" s="28">
        <v>3136</v>
      </c>
      <c r="P190" s="28">
        <v>16</v>
      </c>
      <c r="Q190" s="28">
        <v>172</v>
      </c>
      <c r="R190" s="28">
        <v>69.900000000000006</v>
      </c>
      <c r="S190" s="28">
        <v>52</v>
      </c>
      <c r="T190" s="22">
        <v>319</v>
      </c>
      <c r="U190" s="25">
        <v>413</v>
      </c>
      <c r="V190" s="28">
        <v>1449</v>
      </c>
      <c r="W190" s="28">
        <v>10</v>
      </c>
      <c r="X190" s="22">
        <v>83</v>
      </c>
      <c r="Y190" s="33">
        <v>21</v>
      </c>
      <c r="Z190" s="34">
        <v>19</v>
      </c>
      <c r="AA190" s="25">
        <v>35</v>
      </c>
      <c r="AB190" s="22">
        <v>303</v>
      </c>
      <c r="AC190" s="25">
        <v>84</v>
      </c>
      <c r="AD190" s="22">
        <v>1716</v>
      </c>
      <c r="AE190" s="28">
        <v>13</v>
      </c>
      <c r="AF190" s="28">
        <v>12</v>
      </c>
      <c r="AG190" s="28">
        <v>10</v>
      </c>
      <c r="AH190" s="22">
        <v>7</v>
      </c>
      <c r="AI190" s="25">
        <v>96</v>
      </c>
      <c r="AJ190" s="22">
        <v>3994</v>
      </c>
      <c r="AK190" s="25">
        <v>452</v>
      </c>
      <c r="AL190" s="28">
        <v>5481</v>
      </c>
      <c r="AM190" s="28">
        <v>1014</v>
      </c>
      <c r="AN190" s="22">
        <v>322</v>
      </c>
      <c r="AO190" s="28">
        <v>308</v>
      </c>
      <c r="AP190" s="28">
        <v>490</v>
      </c>
      <c r="AQ190" s="28">
        <v>3486</v>
      </c>
      <c r="AR190" s="28">
        <v>27</v>
      </c>
      <c r="AS190" s="28">
        <v>179</v>
      </c>
      <c r="AT190" s="28">
        <v>29</v>
      </c>
      <c r="AU190" s="22">
        <v>194</v>
      </c>
      <c r="AV190" s="25">
        <v>495</v>
      </c>
      <c r="AW190" s="28">
        <v>1995</v>
      </c>
      <c r="AX190" s="28">
        <v>22</v>
      </c>
      <c r="AY190" s="22">
        <v>121</v>
      </c>
      <c r="AZ190" s="25">
        <v>9</v>
      </c>
      <c r="BA190" s="22">
        <v>12</v>
      </c>
    </row>
    <row r="191" spans="1:53" x14ac:dyDescent="0.25">
      <c r="A191" s="4" t="s">
        <v>33</v>
      </c>
      <c r="B191" s="40">
        <v>2004</v>
      </c>
      <c r="C191" s="25">
        <v>9</v>
      </c>
      <c r="D191" s="28">
        <v>7</v>
      </c>
      <c r="E191" s="77" t="s">
        <v>97</v>
      </c>
      <c r="F191" s="28">
        <v>-2.9</v>
      </c>
      <c r="G191" s="28">
        <v>0.4</v>
      </c>
      <c r="H191" s="22">
        <v>-3.3</v>
      </c>
      <c r="I191" s="25">
        <v>371</v>
      </c>
      <c r="J191" s="28">
        <v>5634</v>
      </c>
      <c r="K191" s="28">
        <v>1034</v>
      </c>
      <c r="L191" s="22">
        <v>320</v>
      </c>
      <c r="M191" s="28">
        <v>304</v>
      </c>
      <c r="N191" s="28">
        <v>532</v>
      </c>
      <c r="O191" s="28">
        <v>3539</v>
      </c>
      <c r="P191" s="28">
        <v>23</v>
      </c>
      <c r="Q191" s="28">
        <v>189</v>
      </c>
      <c r="R191" s="28">
        <v>79.099999999999994</v>
      </c>
      <c r="S191" s="28">
        <v>34</v>
      </c>
      <c r="T191" s="22">
        <v>176</v>
      </c>
      <c r="U191" s="25">
        <v>468</v>
      </c>
      <c r="V191" s="28">
        <v>2095</v>
      </c>
      <c r="W191" s="28">
        <v>17</v>
      </c>
      <c r="X191" s="22">
        <v>110</v>
      </c>
      <c r="Y191" s="33">
        <v>18</v>
      </c>
      <c r="Z191" s="34">
        <v>9</v>
      </c>
      <c r="AA191" s="25">
        <v>30</v>
      </c>
      <c r="AB191" s="22">
        <v>230</v>
      </c>
      <c r="AC191" s="25">
        <v>74</v>
      </c>
      <c r="AD191" s="22">
        <v>1529</v>
      </c>
      <c r="AE191" s="28">
        <v>17</v>
      </c>
      <c r="AF191" s="28">
        <v>16</v>
      </c>
      <c r="AG191" s="28">
        <v>8</v>
      </c>
      <c r="AH191" s="22">
        <v>7</v>
      </c>
      <c r="AI191" s="25">
        <v>79</v>
      </c>
      <c r="AJ191" s="22">
        <v>3034</v>
      </c>
      <c r="AK191" s="25">
        <v>373</v>
      </c>
      <c r="AL191" s="28">
        <v>5621</v>
      </c>
      <c r="AM191" s="28">
        <v>1047</v>
      </c>
      <c r="AN191" s="22">
        <v>311</v>
      </c>
      <c r="AO191" s="28">
        <v>340</v>
      </c>
      <c r="AP191" s="28">
        <v>559</v>
      </c>
      <c r="AQ191" s="28">
        <v>3590</v>
      </c>
      <c r="AR191" s="28">
        <v>24</v>
      </c>
      <c r="AS191" s="28">
        <v>191</v>
      </c>
      <c r="AT191" s="28">
        <v>36</v>
      </c>
      <c r="AU191" s="22">
        <v>218</v>
      </c>
      <c r="AV191" s="25">
        <v>452</v>
      </c>
      <c r="AW191" s="28">
        <v>2031</v>
      </c>
      <c r="AX191" s="28">
        <v>17</v>
      </c>
      <c r="AY191" s="22">
        <v>102</v>
      </c>
      <c r="AZ191" s="25">
        <v>23</v>
      </c>
      <c r="BA191" s="22">
        <v>12</v>
      </c>
    </row>
    <row r="192" spans="1:53" x14ac:dyDescent="0.25">
      <c r="A192" s="4" t="s">
        <v>34</v>
      </c>
      <c r="B192" s="40">
        <v>2004</v>
      </c>
      <c r="C192" s="25">
        <v>8</v>
      </c>
      <c r="D192" s="28">
        <v>8</v>
      </c>
      <c r="E192" s="77" t="s">
        <v>97</v>
      </c>
      <c r="F192" s="28">
        <v>-6</v>
      </c>
      <c r="G192" s="28">
        <v>-2.2000000000000002</v>
      </c>
      <c r="H192" s="22">
        <v>-3.8</v>
      </c>
      <c r="I192" s="25">
        <v>319</v>
      </c>
      <c r="J192" s="28">
        <v>5877</v>
      </c>
      <c r="K192" s="28">
        <v>1011</v>
      </c>
      <c r="L192" s="22">
        <v>321</v>
      </c>
      <c r="M192" s="28">
        <v>372</v>
      </c>
      <c r="N192" s="28">
        <v>580</v>
      </c>
      <c r="O192" s="28">
        <v>4253</v>
      </c>
      <c r="P192" s="28">
        <v>23</v>
      </c>
      <c r="Q192" s="28">
        <v>203</v>
      </c>
      <c r="R192" s="28">
        <v>86.1</v>
      </c>
      <c r="S192" s="28">
        <v>50</v>
      </c>
      <c r="T192" s="22">
        <v>362</v>
      </c>
      <c r="U192" s="25">
        <v>381</v>
      </c>
      <c r="V192" s="28">
        <v>1624</v>
      </c>
      <c r="W192" s="28">
        <v>11</v>
      </c>
      <c r="X192" s="22">
        <v>96</v>
      </c>
      <c r="Y192" s="33">
        <v>22</v>
      </c>
      <c r="Z192" s="34">
        <v>17</v>
      </c>
      <c r="AA192" s="25">
        <v>30</v>
      </c>
      <c r="AB192" s="22">
        <v>143</v>
      </c>
      <c r="AC192" s="25">
        <v>84</v>
      </c>
      <c r="AD192" s="22">
        <v>1604</v>
      </c>
      <c r="AE192" s="28">
        <v>13</v>
      </c>
      <c r="AF192" s="28">
        <v>12</v>
      </c>
      <c r="AG192" s="28">
        <v>11</v>
      </c>
      <c r="AH192" s="22">
        <v>7</v>
      </c>
      <c r="AI192" s="25">
        <v>68</v>
      </c>
      <c r="AJ192" s="22">
        <v>2849</v>
      </c>
      <c r="AK192" s="25">
        <v>392</v>
      </c>
      <c r="AL192" s="28">
        <v>5353</v>
      </c>
      <c r="AM192" s="28">
        <v>1006</v>
      </c>
      <c r="AN192" s="22">
        <v>311</v>
      </c>
      <c r="AO192" s="28">
        <v>292</v>
      </c>
      <c r="AP192" s="28">
        <v>492</v>
      </c>
      <c r="AQ192" s="28">
        <v>3174</v>
      </c>
      <c r="AR192" s="28">
        <v>24</v>
      </c>
      <c r="AS192" s="28">
        <v>172</v>
      </c>
      <c r="AT192" s="28">
        <v>34</v>
      </c>
      <c r="AU192" s="22">
        <v>241</v>
      </c>
      <c r="AV192" s="25">
        <v>480</v>
      </c>
      <c r="AW192" s="28">
        <v>2179</v>
      </c>
      <c r="AX192" s="28">
        <v>13</v>
      </c>
      <c r="AY192" s="22">
        <v>118</v>
      </c>
      <c r="AZ192" s="25">
        <v>6</v>
      </c>
      <c r="BA192" s="22">
        <v>9</v>
      </c>
    </row>
    <row r="193" spans="1:53" x14ac:dyDescent="0.25">
      <c r="A193" s="4" t="s">
        <v>30</v>
      </c>
      <c r="B193" s="40">
        <v>2004</v>
      </c>
      <c r="C193" s="25">
        <v>5</v>
      </c>
      <c r="D193" s="28">
        <v>11</v>
      </c>
      <c r="E193" s="77" t="s">
        <v>96</v>
      </c>
      <c r="F193" s="28">
        <v>-2.7</v>
      </c>
      <c r="G193" s="28">
        <v>-4</v>
      </c>
      <c r="H193" s="22">
        <v>1.3</v>
      </c>
      <c r="I193" s="25">
        <v>301</v>
      </c>
      <c r="J193" s="28">
        <v>4963</v>
      </c>
      <c r="K193" s="28">
        <v>949</v>
      </c>
      <c r="L193" s="22">
        <v>271</v>
      </c>
      <c r="M193" s="28">
        <v>340</v>
      </c>
      <c r="N193" s="28">
        <v>512</v>
      </c>
      <c r="O193" s="28">
        <v>3474</v>
      </c>
      <c r="P193" s="28">
        <v>24</v>
      </c>
      <c r="Q193" s="28">
        <v>175</v>
      </c>
      <c r="R193" s="28">
        <v>89.1</v>
      </c>
      <c r="S193" s="28">
        <v>44</v>
      </c>
      <c r="T193" s="22">
        <v>299</v>
      </c>
      <c r="U193" s="25">
        <v>393</v>
      </c>
      <c r="V193" s="28">
        <v>1489</v>
      </c>
      <c r="W193" s="28">
        <v>9</v>
      </c>
      <c r="X193" s="22">
        <v>74</v>
      </c>
      <c r="Y193" s="33">
        <v>18</v>
      </c>
      <c r="Z193" s="34">
        <v>18</v>
      </c>
      <c r="AA193" s="25">
        <v>33</v>
      </c>
      <c r="AB193" s="22">
        <v>213</v>
      </c>
      <c r="AC193" s="25">
        <v>60</v>
      </c>
      <c r="AD193" s="22">
        <v>1450</v>
      </c>
      <c r="AE193" s="28">
        <v>16</v>
      </c>
      <c r="AF193" s="28">
        <v>11</v>
      </c>
      <c r="AG193" s="28">
        <v>8</v>
      </c>
      <c r="AH193" s="22">
        <v>4</v>
      </c>
      <c r="AI193" s="25">
        <v>83</v>
      </c>
      <c r="AJ193" s="22">
        <v>3469</v>
      </c>
      <c r="AK193" s="25">
        <v>304</v>
      </c>
      <c r="AL193" s="28">
        <v>4552</v>
      </c>
      <c r="AM193" s="28">
        <v>961</v>
      </c>
      <c r="AN193" s="22">
        <v>258</v>
      </c>
      <c r="AO193" s="28">
        <v>247</v>
      </c>
      <c r="AP193" s="28">
        <v>436</v>
      </c>
      <c r="AQ193" s="28">
        <v>2579</v>
      </c>
      <c r="AR193" s="28">
        <v>21</v>
      </c>
      <c r="AS193" s="28">
        <v>131</v>
      </c>
      <c r="AT193" s="28">
        <v>45</v>
      </c>
      <c r="AU193" s="22">
        <v>264</v>
      </c>
      <c r="AV193" s="25">
        <v>480</v>
      </c>
      <c r="AW193" s="28">
        <v>1973</v>
      </c>
      <c r="AX193" s="28">
        <v>8</v>
      </c>
      <c r="AY193" s="22">
        <v>101</v>
      </c>
      <c r="AZ193" s="25">
        <v>16</v>
      </c>
      <c r="BA193" s="22">
        <v>11</v>
      </c>
    </row>
    <row r="194" spans="1:53" x14ac:dyDescent="0.25">
      <c r="A194" s="4" t="s">
        <v>13</v>
      </c>
      <c r="B194" s="40">
        <v>2004</v>
      </c>
      <c r="C194" s="25">
        <v>5</v>
      </c>
      <c r="D194" s="28">
        <v>11</v>
      </c>
      <c r="E194" s="77" t="s">
        <v>96</v>
      </c>
      <c r="F194" s="28">
        <v>-4.4000000000000004</v>
      </c>
      <c r="G194" s="28">
        <v>0.3</v>
      </c>
      <c r="H194" s="22">
        <v>-4.5999999999999996</v>
      </c>
      <c r="I194" s="25">
        <v>344</v>
      </c>
      <c r="J194" s="28">
        <v>5487</v>
      </c>
      <c r="K194" s="28">
        <v>1053</v>
      </c>
      <c r="L194" s="22">
        <v>308</v>
      </c>
      <c r="M194" s="28">
        <v>356</v>
      </c>
      <c r="N194" s="28">
        <v>589</v>
      </c>
      <c r="O194" s="28">
        <v>3616</v>
      </c>
      <c r="P194" s="28">
        <v>27</v>
      </c>
      <c r="Q194" s="28">
        <v>200</v>
      </c>
      <c r="R194" s="28">
        <v>82.1</v>
      </c>
      <c r="S194" s="28">
        <v>44</v>
      </c>
      <c r="T194" s="22">
        <v>317</v>
      </c>
      <c r="U194" s="25">
        <v>420</v>
      </c>
      <c r="V194" s="28">
        <v>1871</v>
      </c>
      <c r="W194" s="28">
        <v>12</v>
      </c>
      <c r="X194" s="22">
        <v>85</v>
      </c>
      <c r="Y194" s="33">
        <v>19</v>
      </c>
      <c r="Z194" s="34">
        <v>12</v>
      </c>
      <c r="AA194" s="25">
        <v>40</v>
      </c>
      <c r="AB194" s="22">
        <v>173</v>
      </c>
      <c r="AC194" s="25">
        <v>79</v>
      </c>
      <c r="AD194" s="22">
        <v>1558</v>
      </c>
      <c r="AE194" s="28">
        <v>11</v>
      </c>
      <c r="AF194" s="28">
        <v>9</v>
      </c>
      <c r="AG194" s="28">
        <v>16</v>
      </c>
      <c r="AH194" s="22">
        <v>10</v>
      </c>
      <c r="AI194" s="25">
        <v>79</v>
      </c>
      <c r="AJ194" s="22">
        <v>3389</v>
      </c>
      <c r="AK194" s="25">
        <v>439</v>
      </c>
      <c r="AL194" s="28">
        <v>5724</v>
      </c>
      <c r="AM194" s="28">
        <v>977</v>
      </c>
      <c r="AN194" s="22">
        <v>318</v>
      </c>
      <c r="AO194" s="28">
        <v>333</v>
      </c>
      <c r="AP194" s="28">
        <v>524</v>
      </c>
      <c r="AQ194" s="28">
        <v>3807</v>
      </c>
      <c r="AR194" s="28">
        <v>29</v>
      </c>
      <c r="AS194" s="28">
        <v>189</v>
      </c>
      <c r="AT194" s="28">
        <v>32</v>
      </c>
      <c r="AU194" s="22">
        <v>220</v>
      </c>
      <c r="AV194" s="25">
        <v>421</v>
      </c>
      <c r="AW194" s="28">
        <v>1917</v>
      </c>
      <c r="AX194" s="28">
        <v>18</v>
      </c>
      <c r="AY194" s="22">
        <v>99</v>
      </c>
      <c r="AZ194" s="25">
        <v>18</v>
      </c>
      <c r="BA194" s="22">
        <v>12</v>
      </c>
    </row>
    <row r="195" spans="1:53" ht="15.75" thickBot="1" x14ac:dyDescent="0.3">
      <c r="A195" s="6" t="s">
        <v>22</v>
      </c>
      <c r="B195" s="41">
        <v>2004</v>
      </c>
      <c r="C195" s="26">
        <v>6</v>
      </c>
      <c r="D195" s="29">
        <v>10</v>
      </c>
      <c r="E195" s="78" t="s">
        <v>96</v>
      </c>
      <c r="F195" s="29">
        <v>-3.4</v>
      </c>
      <c r="G195" s="29">
        <v>-7.4</v>
      </c>
      <c r="H195" s="23">
        <v>4</v>
      </c>
      <c r="I195" s="26">
        <v>240</v>
      </c>
      <c r="J195" s="29">
        <v>4397</v>
      </c>
      <c r="K195" s="29">
        <v>1023</v>
      </c>
      <c r="L195" s="23">
        <v>269</v>
      </c>
      <c r="M195" s="29">
        <v>288</v>
      </c>
      <c r="N195" s="29">
        <v>514</v>
      </c>
      <c r="O195" s="29">
        <v>2632</v>
      </c>
      <c r="P195" s="29">
        <v>18</v>
      </c>
      <c r="Q195" s="29">
        <v>156</v>
      </c>
      <c r="R195" s="29">
        <v>70</v>
      </c>
      <c r="S195" s="29">
        <v>38</v>
      </c>
      <c r="T195" s="23">
        <v>242</v>
      </c>
      <c r="U195" s="26">
        <v>471</v>
      </c>
      <c r="V195" s="29">
        <v>1765</v>
      </c>
      <c r="W195" s="29">
        <v>6</v>
      </c>
      <c r="X195" s="23">
        <v>91</v>
      </c>
      <c r="Y195" s="35">
        <v>17</v>
      </c>
      <c r="Z195" s="36">
        <v>10</v>
      </c>
      <c r="AA195" s="26">
        <v>42</v>
      </c>
      <c r="AB195" s="23">
        <v>331</v>
      </c>
      <c r="AC195" s="26">
        <v>55</v>
      </c>
      <c r="AD195" s="23">
        <v>1203</v>
      </c>
      <c r="AE195" s="29">
        <v>17</v>
      </c>
      <c r="AF195" s="29">
        <v>16</v>
      </c>
      <c r="AG195" s="29">
        <v>10</v>
      </c>
      <c r="AH195" s="23">
        <v>3</v>
      </c>
      <c r="AI195" s="26">
        <v>104</v>
      </c>
      <c r="AJ195" s="23">
        <v>4545</v>
      </c>
      <c r="AK195" s="26">
        <v>265</v>
      </c>
      <c r="AL195" s="29">
        <v>4281</v>
      </c>
      <c r="AM195" s="29">
        <v>974</v>
      </c>
      <c r="AN195" s="23">
        <v>251</v>
      </c>
      <c r="AO195" s="29">
        <v>294</v>
      </c>
      <c r="AP195" s="29">
        <v>515</v>
      </c>
      <c r="AQ195" s="29">
        <v>2977</v>
      </c>
      <c r="AR195" s="29">
        <v>17</v>
      </c>
      <c r="AS195" s="29">
        <v>153</v>
      </c>
      <c r="AT195" s="29">
        <v>40</v>
      </c>
      <c r="AU195" s="23">
        <v>245</v>
      </c>
      <c r="AV195" s="26">
        <v>419</v>
      </c>
      <c r="AW195" s="29">
        <v>1304</v>
      </c>
      <c r="AX195" s="29">
        <v>7</v>
      </c>
      <c r="AY195" s="23">
        <v>67</v>
      </c>
      <c r="AZ195" s="26">
        <v>18</v>
      </c>
      <c r="BA195" s="23">
        <v>8</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0"/>
  <sheetViews>
    <sheetView workbookViewId="0"/>
  </sheetViews>
  <sheetFormatPr defaultColWidth="30.7109375" defaultRowHeight="15" x14ac:dyDescent="0.25"/>
  <cols>
    <col min="1" max="1" width="30.7109375" style="50"/>
    <col min="2" max="16384" width="30.7109375" style="49"/>
  </cols>
  <sheetData>
    <row r="1" spans="1:20" x14ac:dyDescent="0.25">
      <c r="A1" s="50" t="s">
        <v>107</v>
      </c>
      <c r="B1" s="49" t="s">
        <v>108</v>
      </c>
      <c r="C1" s="49" t="s">
        <v>98</v>
      </c>
      <c r="D1" s="49">
        <v>5</v>
      </c>
      <c r="E1" s="49" t="s">
        <v>99</v>
      </c>
      <c r="F1" s="49">
        <v>5</v>
      </c>
      <c r="G1" s="49" t="s">
        <v>100</v>
      </c>
      <c r="H1" s="49">
        <v>0</v>
      </c>
      <c r="I1" s="49" t="s">
        <v>101</v>
      </c>
      <c r="J1" s="49">
        <v>1</v>
      </c>
      <c r="K1" s="49" t="s">
        <v>102</v>
      </c>
      <c r="L1" s="49">
        <v>0</v>
      </c>
      <c r="M1" s="49" t="s">
        <v>103</v>
      </c>
      <c r="N1" s="49">
        <v>0</v>
      </c>
      <c r="O1" s="49" t="s">
        <v>104</v>
      </c>
      <c r="P1" s="49">
        <v>1</v>
      </c>
      <c r="Q1" s="49" t="s">
        <v>105</v>
      </c>
      <c r="R1" s="49">
        <v>0</v>
      </c>
      <c r="S1" s="49" t="s">
        <v>106</v>
      </c>
      <c r="T1" s="49">
        <v>0</v>
      </c>
    </row>
    <row r="2" spans="1:20" x14ac:dyDescent="0.25">
      <c r="A2" s="50" t="s">
        <v>109</v>
      </c>
      <c r="B2" s="49" t="s">
        <v>110</v>
      </c>
    </row>
    <row r="3" spans="1:20" x14ac:dyDescent="0.25">
      <c r="A3" s="50" t="s">
        <v>111</v>
      </c>
      <c r="B3" s="49" t="b">
        <f>IF(B10&gt;256,"TripUpST110AndEarlier",FALSE)</f>
        <v>0</v>
      </c>
    </row>
    <row r="4" spans="1:20" x14ac:dyDescent="0.25">
      <c r="A4" s="50" t="s">
        <v>112</v>
      </c>
      <c r="B4" s="49" t="s">
        <v>113</v>
      </c>
    </row>
    <row r="5" spans="1:20" x14ac:dyDescent="0.25">
      <c r="A5" s="50" t="s">
        <v>114</v>
      </c>
      <c r="B5" s="49" t="b">
        <v>1</v>
      </c>
    </row>
    <row r="6" spans="1:20" x14ac:dyDescent="0.25">
      <c r="A6" s="50" t="s">
        <v>115</v>
      </c>
      <c r="B6" s="49" t="b">
        <v>1</v>
      </c>
    </row>
    <row r="7" spans="1:20" x14ac:dyDescent="0.25">
      <c r="A7" s="50" t="s">
        <v>116</v>
      </c>
      <c r="B7" s="49">
        <f>Data!$A$3:$BA$195</f>
        <v>2009</v>
      </c>
    </row>
    <row r="8" spans="1:20" x14ac:dyDescent="0.25">
      <c r="A8" s="50" t="s">
        <v>117</v>
      </c>
      <c r="B8" s="49">
        <v>1</v>
      </c>
    </row>
    <row r="9" spans="1:20" x14ac:dyDescent="0.25">
      <c r="A9" s="50" t="s">
        <v>118</v>
      </c>
      <c r="B9" s="49">
        <f>1</f>
        <v>1</v>
      </c>
    </row>
    <row r="10" spans="1:20" x14ac:dyDescent="0.25">
      <c r="A10" s="50" t="s">
        <v>119</v>
      </c>
      <c r="B10" s="49">
        <v>53</v>
      </c>
    </row>
    <row r="12" spans="1:20" x14ac:dyDescent="0.25">
      <c r="A12" s="50" t="s">
        <v>120</v>
      </c>
      <c r="B12" s="49" t="s">
        <v>121</v>
      </c>
      <c r="C12" s="49" t="s">
        <v>122</v>
      </c>
      <c r="D12" s="49" t="s">
        <v>123</v>
      </c>
      <c r="E12" s="49" t="b">
        <v>1</v>
      </c>
      <c r="F12" s="49">
        <v>0</v>
      </c>
      <c r="G12" s="49">
        <v>4</v>
      </c>
    </row>
    <row r="13" spans="1:20" x14ac:dyDescent="0.25">
      <c r="A13" s="50" t="s">
        <v>124</v>
      </c>
      <c r="B13" s="49" t="str">
        <f>Data!$A$3:$A$195</f>
        <v>Denver Broncos</v>
      </c>
    </row>
    <row r="14" spans="1:20" x14ac:dyDescent="0.25">
      <c r="A14" s="50" t="s">
        <v>125</v>
      </c>
    </row>
    <row r="15" spans="1:20" x14ac:dyDescent="0.25">
      <c r="A15" s="50" t="s">
        <v>126</v>
      </c>
      <c r="B15" s="49" t="s">
        <v>127</v>
      </c>
      <c r="C15" s="49" t="s">
        <v>128</v>
      </c>
      <c r="D15" s="49" t="s">
        <v>129</v>
      </c>
      <c r="E15" s="49" t="b">
        <v>1</v>
      </c>
      <c r="F15" s="49">
        <v>0</v>
      </c>
      <c r="G15" s="49">
        <v>4</v>
      </c>
    </row>
    <row r="16" spans="1:20" x14ac:dyDescent="0.25">
      <c r="A16" s="50" t="s">
        <v>130</v>
      </c>
      <c r="B16" s="49">
        <f>Data!$B$3:$B$195</f>
        <v>2009</v>
      </c>
    </row>
    <row r="17" spans="1:7" x14ac:dyDescent="0.25">
      <c r="A17" s="50" t="s">
        <v>131</v>
      </c>
    </row>
    <row r="18" spans="1:7" x14ac:dyDescent="0.25">
      <c r="A18" s="50" t="s">
        <v>132</v>
      </c>
      <c r="B18" s="49" t="s">
        <v>133</v>
      </c>
      <c r="C18" s="49" t="s">
        <v>134</v>
      </c>
      <c r="D18" s="49" t="s">
        <v>135</v>
      </c>
      <c r="E18" s="49" t="b">
        <v>1</v>
      </c>
      <c r="F18" s="49">
        <v>0</v>
      </c>
      <c r="G18" s="49">
        <v>4</v>
      </c>
    </row>
    <row r="19" spans="1:7" x14ac:dyDescent="0.25">
      <c r="A19" s="50" t="s">
        <v>136</v>
      </c>
      <c r="B19" s="49">
        <f>Data!$C$3:$C$195</f>
        <v>4</v>
      </c>
    </row>
    <row r="20" spans="1:7" x14ac:dyDescent="0.25">
      <c r="A20" s="50" t="s">
        <v>137</v>
      </c>
    </row>
    <row r="21" spans="1:7" x14ac:dyDescent="0.25">
      <c r="A21" s="50" t="s">
        <v>138</v>
      </c>
      <c r="B21" s="49" t="s">
        <v>139</v>
      </c>
      <c r="C21" s="49" t="s">
        <v>140</v>
      </c>
      <c r="D21" s="49" t="s">
        <v>141</v>
      </c>
      <c r="E21" s="49" t="b">
        <v>1</v>
      </c>
      <c r="F21" s="49">
        <v>0</v>
      </c>
      <c r="G21" s="49">
        <v>4</v>
      </c>
    </row>
    <row r="22" spans="1:7" x14ac:dyDescent="0.25">
      <c r="A22" s="50" t="s">
        <v>142</v>
      </c>
      <c r="B22" s="49">
        <f>Data!$D$3:$D$195</f>
        <v>6</v>
      </c>
    </row>
    <row r="23" spans="1:7" x14ac:dyDescent="0.25">
      <c r="A23" s="50" t="s">
        <v>143</v>
      </c>
    </row>
    <row r="24" spans="1:7" x14ac:dyDescent="0.25">
      <c r="A24" s="50" t="s">
        <v>144</v>
      </c>
      <c r="B24" s="49" t="s">
        <v>145</v>
      </c>
      <c r="C24" s="49" t="s">
        <v>146</v>
      </c>
      <c r="D24" s="49" t="s">
        <v>147</v>
      </c>
      <c r="E24" s="49" t="b">
        <v>1</v>
      </c>
      <c r="F24" s="49">
        <v>0</v>
      </c>
      <c r="G24" s="49">
        <v>4</v>
      </c>
    </row>
    <row r="25" spans="1:7" x14ac:dyDescent="0.25">
      <c r="A25" s="50" t="s">
        <v>148</v>
      </c>
      <c r="B25" s="49" t="str">
        <f>Data!$E$3:$E$195</f>
        <v>Yes</v>
      </c>
    </row>
    <row r="26" spans="1:7" x14ac:dyDescent="0.25">
      <c r="A26" s="50" t="s">
        <v>149</v>
      </c>
    </row>
    <row r="27" spans="1:7" x14ac:dyDescent="0.25">
      <c r="A27" s="50" t="s">
        <v>150</v>
      </c>
      <c r="B27" s="49" t="s">
        <v>151</v>
      </c>
      <c r="C27" s="49" t="s">
        <v>152</v>
      </c>
      <c r="D27" s="49" t="s">
        <v>153</v>
      </c>
      <c r="E27" s="49" t="b">
        <v>1</v>
      </c>
      <c r="F27" s="49">
        <v>0</v>
      </c>
      <c r="G27" s="49">
        <v>4</v>
      </c>
    </row>
    <row r="28" spans="1:7" x14ac:dyDescent="0.25">
      <c r="A28" s="50" t="s">
        <v>154</v>
      </c>
      <c r="B28" s="49">
        <f>Data!$F$3:$F$195</f>
        <v>1.7</v>
      </c>
    </row>
    <row r="29" spans="1:7" x14ac:dyDescent="0.25">
      <c r="A29" s="50" t="s">
        <v>155</v>
      </c>
    </row>
    <row r="30" spans="1:7" x14ac:dyDescent="0.25">
      <c r="A30" s="50" t="s">
        <v>156</v>
      </c>
      <c r="B30" s="49" t="s">
        <v>157</v>
      </c>
      <c r="C30" s="49" t="s">
        <v>158</v>
      </c>
      <c r="D30" s="49" t="s">
        <v>159</v>
      </c>
      <c r="E30" s="49" t="b">
        <v>1</v>
      </c>
      <c r="F30" s="49">
        <v>0</v>
      </c>
      <c r="G30" s="49">
        <v>4</v>
      </c>
    </row>
    <row r="31" spans="1:7" x14ac:dyDescent="0.25">
      <c r="A31" s="50" t="s">
        <v>160</v>
      </c>
      <c r="B31" s="49">
        <f>Data!$G$3:$G$195</f>
        <v>-5</v>
      </c>
    </row>
    <row r="32" spans="1:7" x14ac:dyDescent="0.25">
      <c r="A32" s="50" t="s">
        <v>161</v>
      </c>
    </row>
    <row r="33" spans="1:7" x14ac:dyDescent="0.25">
      <c r="A33" s="50" t="s">
        <v>162</v>
      </c>
      <c r="B33" s="49" t="s">
        <v>163</v>
      </c>
      <c r="C33" s="49" t="s">
        <v>164</v>
      </c>
      <c r="D33" s="49" t="s">
        <v>165</v>
      </c>
      <c r="E33" s="49" t="b">
        <v>1</v>
      </c>
      <c r="F33" s="49">
        <v>0</v>
      </c>
      <c r="G33" s="49">
        <v>4</v>
      </c>
    </row>
    <row r="34" spans="1:7" x14ac:dyDescent="0.25">
      <c r="A34" s="50" t="s">
        <v>166</v>
      </c>
      <c r="B34" s="49">
        <f>Data!$H$3:$H$195</f>
        <v>-3.6</v>
      </c>
    </row>
    <row r="35" spans="1:7" x14ac:dyDescent="0.25">
      <c r="A35" s="50" t="s">
        <v>167</v>
      </c>
    </row>
    <row r="36" spans="1:7" x14ac:dyDescent="0.25">
      <c r="A36" s="50" t="s">
        <v>168</v>
      </c>
      <c r="B36" s="49" t="s">
        <v>169</v>
      </c>
      <c r="C36" s="49" t="s">
        <v>170</v>
      </c>
      <c r="D36" s="49" t="s">
        <v>171</v>
      </c>
      <c r="E36" s="49" t="b">
        <v>1</v>
      </c>
      <c r="F36" s="49">
        <v>0</v>
      </c>
      <c r="G36" s="49">
        <v>4</v>
      </c>
    </row>
    <row r="37" spans="1:7" x14ac:dyDescent="0.25">
      <c r="A37" s="50" t="s">
        <v>172</v>
      </c>
      <c r="B37" s="49">
        <f>Data!$I$3:$I$195</f>
        <v>391</v>
      </c>
    </row>
    <row r="38" spans="1:7" x14ac:dyDescent="0.25">
      <c r="A38" s="50" t="s">
        <v>173</v>
      </c>
    </row>
    <row r="39" spans="1:7" x14ac:dyDescent="0.25">
      <c r="A39" s="50" t="s">
        <v>174</v>
      </c>
      <c r="B39" s="49" t="s">
        <v>175</v>
      </c>
      <c r="C39" s="49" t="s">
        <v>176</v>
      </c>
      <c r="D39" s="49" t="s">
        <v>177</v>
      </c>
      <c r="E39" s="49" t="b">
        <v>1</v>
      </c>
      <c r="F39" s="49">
        <v>0</v>
      </c>
      <c r="G39" s="49">
        <v>4</v>
      </c>
    </row>
    <row r="40" spans="1:7" x14ac:dyDescent="0.25">
      <c r="A40" s="50" t="s">
        <v>178</v>
      </c>
      <c r="B40" s="49">
        <f>Data!$J$3:$J$195</f>
        <v>5595</v>
      </c>
    </row>
    <row r="41" spans="1:7" x14ac:dyDescent="0.25">
      <c r="A41" s="50" t="s">
        <v>179</v>
      </c>
    </row>
    <row r="42" spans="1:7" x14ac:dyDescent="0.25">
      <c r="A42" s="50" t="s">
        <v>180</v>
      </c>
      <c r="B42" s="49" t="s">
        <v>181</v>
      </c>
      <c r="C42" s="49" t="s">
        <v>182</v>
      </c>
      <c r="D42" s="49" t="s">
        <v>183</v>
      </c>
      <c r="E42" s="49" t="b">
        <v>1</v>
      </c>
      <c r="F42" s="49">
        <v>0</v>
      </c>
      <c r="G42" s="49">
        <v>4</v>
      </c>
    </row>
    <row r="43" spans="1:7" x14ac:dyDescent="0.25">
      <c r="A43" s="50" t="s">
        <v>184</v>
      </c>
      <c r="B43" s="49">
        <f>Data!$K$3:$K$195</f>
        <v>921</v>
      </c>
    </row>
    <row r="44" spans="1:7" x14ac:dyDescent="0.25">
      <c r="A44" s="50" t="s">
        <v>185</v>
      </c>
    </row>
    <row r="45" spans="1:7" x14ac:dyDescent="0.25">
      <c r="A45" s="50" t="s">
        <v>186</v>
      </c>
      <c r="B45" s="49" t="s">
        <v>187</v>
      </c>
      <c r="C45" s="49" t="s">
        <v>188</v>
      </c>
      <c r="D45" s="49" t="s">
        <v>189</v>
      </c>
      <c r="E45" s="49" t="b">
        <v>1</v>
      </c>
      <c r="F45" s="49">
        <v>0</v>
      </c>
      <c r="G45" s="49">
        <v>4</v>
      </c>
    </row>
    <row r="46" spans="1:7" x14ac:dyDescent="0.25">
      <c r="A46" s="50" t="s">
        <v>190</v>
      </c>
      <c r="B46" s="49">
        <f>Data!$L$3:$L$195</f>
        <v>234</v>
      </c>
    </row>
    <row r="47" spans="1:7" x14ac:dyDescent="0.25">
      <c r="A47" s="50" t="s">
        <v>191</v>
      </c>
    </row>
    <row r="48" spans="1:7" x14ac:dyDescent="0.25">
      <c r="A48" s="50" t="s">
        <v>192</v>
      </c>
      <c r="B48" s="49" t="s">
        <v>193</v>
      </c>
      <c r="C48" s="49" t="s">
        <v>194</v>
      </c>
      <c r="D48" s="49" t="s">
        <v>195</v>
      </c>
      <c r="E48" s="49" t="b">
        <v>1</v>
      </c>
      <c r="F48" s="49">
        <v>0</v>
      </c>
      <c r="G48" s="49">
        <v>4</v>
      </c>
    </row>
    <row r="49" spans="1:7" x14ac:dyDescent="0.25">
      <c r="A49" s="50" t="s">
        <v>196</v>
      </c>
      <c r="B49" s="49">
        <f>Data!$M$3:$M$195</f>
        <v>393</v>
      </c>
    </row>
    <row r="50" spans="1:7" x14ac:dyDescent="0.25">
      <c r="A50" s="50" t="s">
        <v>197</v>
      </c>
    </row>
    <row r="51" spans="1:7" x14ac:dyDescent="0.25">
      <c r="A51" s="50" t="s">
        <v>198</v>
      </c>
      <c r="B51" s="49" t="s">
        <v>199</v>
      </c>
      <c r="C51" s="49" t="s">
        <v>200</v>
      </c>
      <c r="D51" s="49" t="s">
        <v>201</v>
      </c>
      <c r="E51" s="49" t="b">
        <v>1</v>
      </c>
      <c r="F51" s="49">
        <v>0</v>
      </c>
      <c r="G51" s="49">
        <v>4</v>
      </c>
    </row>
    <row r="52" spans="1:7" x14ac:dyDescent="0.25">
      <c r="A52" s="50" t="s">
        <v>202</v>
      </c>
      <c r="B52" s="49">
        <f>Data!$N$3:$N$195</f>
        <v>491</v>
      </c>
    </row>
    <row r="53" spans="1:7" x14ac:dyDescent="0.25">
      <c r="A53" s="50" t="s">
        <v>203</v>
      </c>
    </row>
    <row r="54" spans="1:7" x14ac:dyDescent="0.25">
      <c r="A54" s="50" t="s">
        <v>204</v>
      </c>
      <c r="B54" s="49" t="s">
        <v>205</v>
      </c>
      <c r="C54" s="49" t="s">
        <v>206</v>
      </c>
      <c r="D54" s="49" t="s">
        <v>207</v>
      </c>
      <c r="E54" s="49" t="b">
        <v>1</v>
      </c>
      <c r="F54" s="49">
        <v>0</v>
      </c>
      <c r="G54" s="49">
        <v>4</v>
      </c>
    </row>
    <row r="55" spans="1:7" x14ac:dyDescent="0.25">
      <c r="A55" s="50" t="s">
        <v>208</v>
      </c>
      <c r="B55" s="49">
        <f>Data!$O$3:$O$195</f>
        <v>4977</v>
      </c>
    </row>
    <row r="56" spans="1:7" x14ac:dyDescent="0.25">
      <c r="A56" s="50" t="s">
        <v>209</v>
      </c>
    </row>
    <row r="57" spans="1:7" x14ac:dyDescent="0.25">
      <c r="A57" s="50" t="s">
        <v>210</v>
      </c>
      <c r="B57" s="49" t="s">
        <v>211</v>
      </c>
      <c r="C57" s="49" t="s">
        <v>212</v>
      </c>
      <c r="D57" s="49" t="s">
        <v>213</v>
      </c>
      <c r="E57" s="49" t="b">
        <v>1</v>
      </c>
      <c r="F57" s="49">
        <v>0</v>
      </c>
      <c r="G57" s="49">
        <v>4</v>
      </c>
    </row>
    <row r="58" spans="1:7" x14ac:dyDescent="0.25">
      <c r="A58" s="50" t="s">
        <v>214</v>
      </c>
      <c r="B58" s="49">
        <f>Data!$P$3:$P$195</f>
        <v>13</v>
      </c>
    </row>
    <row r="59" spans="1:7" x14ac:dyDescent="0.25">
      <c r="A59" s="50" t="s">
        <v>215</v>
      </c>
    </row>
    <row r="60" spans="1:7" x14ac:dyDescent="0.25">
      <c r="A60" s="50" t="s">
        <v>216</v>
      </c>
      <c r="B60" s="49" t="s">
        <v>217</v>
      </c>
      <c r="C60" s="49" t="s">
        <v>218</v>
      </c>
      <c r="D60" s="49" t="s">
        <v>219</v>
      </c>
      <c r="E60" s="49" t="b">
        <v>1</v>
      </c>
      <c r="F60" s="49">
        <v>0</v>
      </c>
      <c r="G60" s="49">
        <v>4</v>
      </c>
    </row>
    <row r="61" spans="1:7" x14ac:dyDescent="0.25">
      <c r="A61" s="50" t="s">
        <v>220</v>
      </c>
      <c r="B61" s="49">
        <f>Data!$Q$3:$Q$195</f>
        <v>191</v>
      </c>
    </row>
    <row r="62" spans="1:7" x14ac:dyDescent="0.25">
      <c r="A62" s="50" t="s">
        <v>221</v>
      </c>
    </row>
    <row r="63" spans="1:7" x14ac:dyDescent="0.25">
      <c r="A63" s="50" t="s">
        <v>222</v>
      </c>
      <c r="B63" s="49" t="s">
        <v>223</v>
      </c>
      <c r="C63" s="49" t="s">
        <v>224</v>
      </c>
      <c r="D63" s="49" t="s">
        <v>225</v>
      </c>
      <c r="E63" s="49" t="b">
        <v>1</v>
      </c>
      <c r="F63" s="49">
        <v>0</v>
      </c>
      <c r="G63" s="49">
        <v>4</v>
      </c>
    </row>
    <row r="64" spans="1:7" x14ac:dyDescent="0.25">
      <c r="A64" s="50" t="s">
        <v>226</v>
      </c>
      <c r="B64" s="49">
        <f>Data!$R$3:$R$195</f>
        <v>66.900000000000006</v>
      </c>
    </row>
    <row r="65" spans="1:7" x14ac:dyDescent="0.25">
      <c r="A65" s="50" t="s">
        <v>227</v>
      </c>
    </row>
    <row r="66" spans="1:7" x14ac:dyDescent="0.25">
      <c r="A66" s="50" t="s">
        <v>228</v>
      </c>
      <c r="B66" s="49" t="s">
        <v>229</v>
      </c>
      <c r="C66" s="49" t="s">
        <v>230</v>
      </c>
      <c r="D66" s="49" t="s">
        <v>231</v>
      </c>
      <c r="E66" s="49" t="b">
        <v>1</v>
      </c>
      <c r="F66" s="49">
        <v>0</v>
      </c>
      <c r="G66" s="49">
        <v>4</v>
      </c>
    </row>
    <row r="67" spans="1:7" x14ac:dyDescent="0.25">
      <c r="A67" s="50" t="s">
        <v>232</v>
      </c>
      <c r="B67" s="49">
        <f>Data!$S$3:$S$195</f>
        <v>38</v>
      </c>
    </row>
    <row r="68" spans="1:7" x14ac:dyDescent="0.25">
      <c r="A68" s="50" t="s">
        <v>233</v>
      </c>
    </row>
    <row r="69" spans="1:7" x14ac:dyDescent="0.25">
      <c r="A69" s="50" t="s">
        <v>234</v>
      </c>
      <c r="B69" s="49" t="s">
        <v>235</v>
      </c>
      <c r="C69" s="49" t="s">
        <v>236</v>
      </c>
      <c r="D69" s="49" t="s">
        <v>237</v>
      </c>
      <c r="E69" s="49" t="b">
        <v>1</v>
      </c>
      <c r="F69" s="49">
        <v>0</v>
      </c>
      <c r="G69" s="49">
        <v>4</v>
      </c>
    </row>
    <row r="70" spans="1:7" x14ac:dyDescent="0.25">
      <c r="A70" s="50" t="s">
        <v>238</v>
      </c>
      <c r="B70" s="49">
        <f>Data!$T$3:$T$195</f>
        <v>273</v>
      </c>
    </row>
    <row r="71" spans="1:7" x14ac:dyDescent="0.25">
      <c r="A71" s="50" t="s">
        <v>239</v>
      </c>
    </row>
    <row r="72" spans="1:7" x14ac:dyDescent="0.25">
      <c r="A72" s="50" t="s">
        <v>240</v>
      </c>
      <c r="B72" s="49" t="s">
        <v>241</v>
      </c>
      <c r="C72" s="49" t="s">
        <v>242</v>
      </c>
      <c r="D72" s="49" t="s">
        <v>243</v>
      </c>
      <c r="E72" s="49" t="b">
        <v>1</v>
      </c>
      <c r="F72" s="49">
        <v>0</v>
      </c>
      <c r="G72" s="49">
        <v>4</v>
      </c>
    </row>
    <row r="73" spans="1:7" x14ac:dyDescent="0.25">
      <c r="A73" s="50" t="s">
        <v>244</v>
      </c>
      <c r="B73" s="49">
        <f>Data!$U$3:$U$195</f>
        <v>423</v>
      </c>
    </row>
    <row r="74" spans="1:7" x14ac:dyDescent="0.25">
      <c r="A74" s="50" t="s">
        <v>245</v>
      </c>
    </row>
    <row r="75" spans="1:7" x14ac:dyDescent="0.25">
      <c r="A75" s="50" t="s">
        <v>246</v>
      </c>
      <c r="B75" s="49" t="s">
        <v>247</v>
      </c>
      <c r="C75" s="49" t="s">
        <v>248</v>
      </c>
      <c r="D75" s="49" t="s">
        <v>249</v>
      </c>
      <c r="E75" s="49" t="b">
        <v>1</v>
      </c>
      <c r="F75" s="49">
        <v>0</v>
      </c>
      <c r="G75" s="49">
        <v>4</v>
      </c>
    </row>
    <row r="76" spans="1:7" x14ac:dyDescent="0.25">
      <c r="A76" s="50" t="s">
        <v>250</v>
      </c>
      <c r="B76" s="49">
        <f>Data!$V$3:$V$195</f>
        <v>1746</v>
      </c>
    </row>
    <row r="77" spans="1:7" x14ac:dyDescent="0.25">
      <c r="A77" s="50" t="s">
        <v>251</v>
      </c>
    </row>
    <row r="78" spans="1:7" x14ac:dyDescent="0.25">
      <c r="A78" s="50" t="s">
        <v>252</v>
      </c>
      <c r="B78" s="49" t="s">
        <v>253</v>
      </c>
      <c r="C78" s="49" t="s">
        <v>254</v>
      </c>
      <c r="D78" s="49" t="s">
        <v>255</v>
      </c>
      <c r="E78" s="49" t="b">
        <v>1</v>
      </c>
      <c r="F78" s="49">
        <v>0</v>
      </c>
      <c r="G78" s="49">
        <v>4</v>
      </c>
    </row>
    <row r="79" spans="1:7" x14ac:dyDescent="0.25">
      <c r="A79" s="50" t="s">
        <v>256</v>
      </c>
      <c r="B79" s="49">
        <f>Data!$W$3:$W$195</f>
        <v>13</v>
      </c>
    </row>
    <row r="80" spans="1:7" x14ac:dyDescent="0.25">
      <c r="A80" s="50" t="s">
        <v>257</v>
      </c>
    </row>
    <row r="81" spans="1:7" x14ac:dyDescent="0.25">
      <c r="A81" s="50" t="s">
        <v>258</v>
      </c>
      <c r="B81" s="49" t="s">
        <v>259</v>
      </c>
      <c r="C81" s="49" t="s">
        <v>260</v>
      </c>
      <c r="D81" s="49" t="s">
        <v>261</v>
      </c>
      <c r="E81" s="49" t="b">
        <v>1</v>
      </c>
      <c r="F81" s="49">
        <v>0</v>
      </c>
      <c r="G81" s="49">
        <v>4</v>
      </c>
    </row>
    <row r="82" spans="1:7" x14ac:dyDescent="0.25">
      <c r="A82" s="50" t="s">
        <v>262</v>
      </c>
      <c r="B82" s="49">
        <f>Data!$X$3:$X$195</f>
        <v>127</v>
      </c>
    </row>
    <row r="83" spans="1:7" x14ac:dyDescent="0.25">
      <c r="A83" s="50" t="s">
        <v>263</v>
      </c>
    </row>
    <row r="84" spans="1:7" x14ac:dyDescent="0.25">
      <c r="A84" s="50" t="s">
        <v>264</v>
      </c>
      <c r="B84" s="49" t="s">
        <v>265</v>
      </c>
      <c r="C84" s="49" t="s">
        <v>266</v>
      </c>
      <c r="D84" s="49" t="s">
        <v>267</v>
      </c>
      <c r="E84" s="49" t="b">
        <v>1</v>
      </c>
      <c r="F84" s="49">
        <v>0</v>
      </c>
      <c r="G84" s="49">
        <v>4</v>
      </c>
    </row>
    <row r="85" spans="1:7" x14ac:dyDescent="0.25">
      <c r="A85" s="50" t="s">
        <v>268</v>
      </c>
      <c r="B85" s="49">
        <f>Data!$Y$3:$Y$195</f>
        <v>14</v>
      </c>
    </row>
    <row r="86" spans="1:7" x14ac:dyDescent="0.25">
      <c r="A86" s="50" t="s">
        <v>269</v>
      </c>
    </row>
    <row r="87" spans="1:7" x14ac:dyDescent="0.25">
      <c r="A87" s="50" t="s">
        <v>270</v>
      </c>
      <c r="B87" s="49" t="s">
        <v>271</v>
      </c>
      <c r="C87" s="49" t="s">
        <v>272</v>
      </c>
      <c r="D87" s="49" t="s">
        <v>273</v>
      </c>
      <c r="E87" s="49" t="b">
        <v>1</v>
      </c>
      <c r="F87" s="49">
        <v>0</v>
      </c>
      <c r="G87" s="49">
        <v>4</v>
      </c>
    </row>
    <row r="88" spans="1:7" x14ac:dyDescent="0.25">
      <c r="A88" s="50" t="s">
        <v>274</v>
      </c>
      <c r="B88" s="49">
        <f>Data!$Z$3:$Z$195</f>
        <v>14</v>
      </c>
    </row>
    <row r="89" spans="1:7" x14ac:dyDescent="0.25">
      <c r="A89" s="50" t="s">
        <v>275</v>
      </c>
    </row>
    <row r="90" spans="1:7" x14ac:dyDescent="0.25">
      <c r="A90" s="50" t="s">
        <v>276</v>
      </c>
      <c r="B90" s="49" t="s">
        <v>277</v>
      </c>
      <c r="C90" s="49" t="s">
        <v>278</v>
      </c>
      <c r="D90" s="49" t="s">
        <v>279</v>
      </c>
      <c r="E90" s="49" t="b">
        <v>1</v>
      </c>
      <c r="F90" s="49">
        <v>0</v>
      </c>
      <c r="G90" s="49">
        <v>4</v>
      </c>
    </row>
    <row r="91" spans="1:7" x14ac:dyDescent="0.25">
      <c r="A91" s="50" t="s">
        <v>280</v>
      </c>
      <c r="B91" s="49">
        <f>Data!$AA$3:$AA$195</f>
        <v>42</v>
      </c>
    </row>
    <row r="92" spans="1:7" x14ac:dyDescent="0.25">
      <c r="A92" s="50" t="s">
        <v>281</v>
      </c>
    </row>
    <row r="93" spans="1:7" x14ac:dyDescent="0.25">
      <c r="A93" s="50" t="s">
        <v>282</v>
      </c>
      <c r="B93" s="49" t="s">
        <v>283</v>
      </c>
      <c r="C93" s="49" t="s">
        <v>284</v>
      </c>
      <c r="D93" s="49" t="s">
        <v>285</v>
      </c>
      <c r="E93" s="49" t="b">
        <v>1</v>
      </c>
      <c r="F93" s="49">
        <v>0</v>
      </c>
      <c r="G93" s="49">
        <v>4</v>
      </c>
    </row>
    <row r="94" spans="1:7" x14ac:dyDescent="0.25">
      <c r="A94" s="50" t="s">
        <v>286</v>
      </c>
      <c r="B94" s="49">
        <f>Data!$AB$3:$AB$195</f>
        <v>483</v>
      </c>
    </row>
    <row r="95" spans="1:7" x14ac:dyDescent="0.25">
      <c r="A95" s="50" t="s">
        <v>287</v>
      </c>
    </row>
    <row r="96" spans="1:7" x14ac:dyDescent="0.25">
      <c r="A96" s="50" t="s">
        <v>288</v>
      </c>
      <c r="B96" s="49" t="s">
        <v>289</v>
      </c>
      <c r="C96" s="49" t="s">
        <v>290</v>
      </c>
      <c r="D96" s="49" t="s">
        <v>291</v>
      </c>
      <c r="E96" s="49" t="b">
        <v>1</v>
      </c>
      <c r="F96" s="49">
        <v>0</v>
      </c>
      <c r="G96" s="49">
        <v>4</v>
      </c>
    </row>
    <row r="97" spans="1:7" x14ac:dyDescent="0.25">
      <c r="A97" s="50" t="s">
        <v>292</v>
      </c>
      <c r="B97" s="49">
        <f>Data!$AC$3:$AC$195</f>
        <v>48</v>
      </c>
    </row>
    <row r="98" spans="1:7" x14ac:dyDescent="0.25">
      <c r="A98" s="50" t="s">
        <v>293</v>
      </c>
    </row>
    <row r="99" spans="1:7" x14ac:dyDescent="0.25">
      <c r="A99" s="50" t="s">
        <v>294</v>
      </c>
      <c r="B99" s="49" t="s">
        <v>295</v>
      </c>
      <c r="C99" s="49" t="s">
        <v>296</v>
      </c>
      <c r="D99" s="49" t="s">
        <v>297</v>
      </c>
      <c r="E99" s="49" t="b">
        <v>1</v>
      </c>
      <c r="F99" s="49">
        <v>0</v>
      </c>
      <c r="G99" s="49">
        <v>4</v>
      </c>
    </row>
    <row r="100" spans="1:7" x14ac:dyDescent="0.25">
      <c r="A100" s="50" t="s">
        <v>298</v>
      </c>
      <c r="B100" s="49">
        <f>Data!$AD$3:$AD$195</f>
        <v>1610</v>
      </c>
    </row>
    <row r="101" spans="1:7" x14ac:dyDescent="0.25">
      <c r="A101" s="50" t="s">
        <v>299</v>
      </c>
    </row>
    <row r="102" spans="1:7" x14ac:dyDescent="0.25">
      <c r="A102" s="50" t="s">
        <v>300</v>
      </c>
      <c r="B102" s="49" t="s">
        <v>301</v>
      </c>
      <c r="C102" s="49" t="s">
        <v>302</v>
      </c>
      <c r="D102" s="49" t="s">
        <v>303</v>
      </c>
      <c r="E102" s="49" t="b">
        <v>1</v>
      </c>
      <c r="F102" s="49">
        <v>0</v>
      </c>
      <c r="G102" s="49">
        <v>4</v>
      </c>
    </row>
    <row r="103" spans="1:7" x14ac:dyDescent="0.25">
      <c r="A103" s="50" t="s">
        <v>304</v>
      </c>
      <c r="B103" s="49">
        <f>Data!$AE$3:$AE$195</f>
        <v>13</v>
      </c>
    </row>
    <row r="104" spans="1:7" x14ac:dyDescent="0.25">
      <c r="A104" s="50" t="s">
        <v>305</v>
      </c>
    </row>
    <row r="105" spans="1:7" x14ac:dyDescent="0.25">
      <c r="A105" s="50" t="s">
        <v>306</v>
      </c>
      <c r="B105" s="49" t="s">
        <v>307</v>
      </c>
      <c r="C105" s="49" t="s">
        <v>308</v>
      </c>
      <c r="D105" s="49" t="s">
        <v>309</v>
      </c>
      <c r="E105" s="49" t="b">
        <v>1</v>
      </c>
      <c r="F105" s="49">
        <v>0</v>
      </c>
      <c r="G105" s="49">
        <v>4</v>
      </c>
    </row>
    <row r="106" spans="1:7" x14ac:dyDescent="0.25">
      <c r="A106" s="50" t="s">
        <v>310</v>
      </c>
      <c r="B106" s="49">
        <f>Data!$AF$3:$AF$195</f>
        <v>17</v>
      </c>
    </row>
    <row r="107" spans="1:7" x14ac:dyDescent="0.25">
      <c r="A107" s="50" t="s">
        <v>311</v>
      </c>
    </row>
    <row r="108" spans="1:7" x14ac:dyDescent="0.25">
      <c r="A108" s="50" t="s">
        <v>312</v>
      </c>
      <c r="B108" s="49" t="s">
        <v>313</v>
      </c>
      <c r="C108" s="49" t="s">
        <v>314</v>
      </c>
      <c r="D108" s="49" t="s">
        <v>315</v>
      </c>
      <c r="E108" s="49" t="b">
        <v>1</v>
      </c>
      <c r="F108" s="49">
        <v>0</v>
      </c>
      <c r="G108" s="49">
        <v>4</v>
      </c>
    </row>
    <row r="109" spans="1:7" x14ac:dyDescent="0.25">
      <c r="A109" s="50" t="s">
        <v>316</v>
      </c>
      <c r="B109" s="49">
        <f>Data!$AG$3:$AG$195</f>
        <v>9</v>
      </c>
    </row>
    <row r="110" spans="1:7" x14ac:dyDescent="0.25">
      <c r="A110" s="50" t="s">
        <v>317</v>
      </c>
    </row>
    <row r="111" spans="1:7" x14ac:dyDescent="0.25">
      <c r="A111" s="50" t="s">
        <v>318</v>
      </c>
      <c r="B111" s="49" t="s">
        <v>319</v>
      </c>
      <c r="C111" s="49" t="s">
        <v>320</v>
      </c>
      <c r="D111" s="49" t="s">
        <v>321</v>
      </c>
      <c r="E111" s="49" t="b">
        <v>1</v>
      </c>
      <c r="F111" s="49">
        <v>0</v>
      </c>
      <c r="G111" s="49">
        <v>4</v>
      </c>
    </row>
    <row r="112" spans="1:7" x14ac:dyDescent="0.25">
      <c r="A112" s="50" t="s">
        <v>322</v>
      </c>
      <c r="B112" s="49">
        <f>Data!$AH$3:$AH$195</f>
        <v>11</v>
      </c>
    </row>
    <row r="113" spans="1:7" x14ac:dyDescent="0.25">
      <c r="A113" s="50" t="s">
        <v>323</v>
      </c>
    </row>
    <row r="114" spans="1:7" x14ac:dyDescent="0.25">
      <c r="A114" s="50" t="s">
        <v>324</v>
      </c>
      <c r="B114" s="49" t="s">
        <v>325</v>
      </c>
      <c r="C114" s="49" t="s">
        <v>326</v>
      </c>
      <c r="D114" s="49" t="s">
        <v>327</v>
      </c>
      <c r="E114" s="49" t="b">
        <v>1</v>
      </c>
      <c r="F114" s="49">
        <v>0</v>
      </c>
      <c r="G114" s="49">
        <v>4</v>
      </c>
    </row>
    <row r="115" spans="1:7" x14ac:dyDescent="0.25">
      <c r="A115" s="50" t="s">
        <v>328</v>
      </c>
      <c r="B115" s="49">
        <f>Data!$AI$3:$AI$195</f>
        <v>72</v>
      </c>
    </row>
    <row r="116" spans="1:7" x14ac:dyDescent="0.25">
      <c r="A116" s="50" t="s">
        <v>329</v>
      </c>
    </row>
    <row r="117" spans="1:7" x14ac:dyDescent="0.25">
      <c r="A117" s="50" t="s">
        <v>330</v>
      </c>
      <c r="B117" s="49" t="s">
        <v>331</v>
      </c>
      <c r="C117" s="49" t="s">
        <v>332</v>
      </c>
      <c r="D117" s="49" t="s">
        <v>333</v>
      </c>
      <c r="E117" s="49" t="b">
        <v>1</v>
      </c>
      <c r="F117" s="49">
        <v>0</v>
      </c>
      <c r="G117" s="49">
        <v>4</v>
      </c>
    </row>
    <row r="118" spans="1:7" x14ac:dyDescent="0.25">
      <c r="A118" s="50" t="s">
        <v>334</v>
      </c>
      <c r="B118" s="49">
        <f>Data!$AJ$3:$AJ$195</f>
        <v>2850</v>
      </c>
    </row>
    <row r="119" spans="1:7" x14ac:dyDescent="0.25">
      <c r="A119" s="50" t="s">
        <v>335</v>
      </c>
    </row>
    <row r="120" spans="1:7" x14ac:dyDescent="0.25">
      <c r="A120" s="50" t="s">
        <v>336</v>
      </c>
      <c r="B120" s="49" t="s">
        <v>337</v>
      </c>
      <c r="C120" s="49" t="s">
        <v>338</v>
      </c>
      <c r="D120" s="49" t="s">
        <v>339</v>
      </c>
      <c r="E120" s="49" t="b">
        <v>1</v>
      </c>
      <c r="F120" s="49">
        <v>0</v>
      </c>
      <c r="G120" s="49">
        <v>4</v>
      </c>
    </row>
    <row r="121" spans="1:7" x14ac:dyDescent="0.25">
      <c r="A121" s="50" t="s">
        <v>340</v>
      </c>
      <c r="B121" s="49">
        <f>Data!$AK$3:$AK$195</f>
        <v>295</v>
      </c>
    </row>
    <row r="122" spans="1:7" x14ac:dyDescent="0.25">
      <c r="A122" s="50" t="s">
        <v>341</v>
      </c>
    </row>
    <row r="123" spans="1:7" x14ac:dyDescent="0.25">
      <c r="A123" s="50" t="s">
        <v>342</v>
      </c>
      <c r="B123" s="49" t="s">
        <v>343</v>
      </c>
      <c r="C123" s="49" t="s">
        <v>344</v>
      </c>
      <c r="D123" s="49" t="s">
        <v>345</v>
      </c>
      <c r="E123" s="49" t="b">
        <v>1</v>
      </c>
      <c r="F123" s="49">
        <v>0</v>
      </c>
      <c r="G123" s="49">
        <v>4</v>
      </c>
    </row>
    <row r="124" spans="1:7" x14ac:dyDescent="0.25">
      <c r="A124" s="50" t="s">
        <v>346</v>
      </c>
      <c r="B124" s="49">
        <f>Data!$AL$3:$AL$195</f>
        <v>4805</v>
      </c>
    </row>
    <row r="125" spans="1:7" x14ac:dyDescent="0.25">
      <c r="A125" s="50" t="s">
        <v>347</v>
      </c>
    </row>
    <row r="126" spans="1:7" x14ac:dyDescent="0.25">
      <c r="A126" s="50" t="s">
        <v>348</v>
      </c>
      <c r="B126" s="49" t="s">
        <v>349</v>
      </c>
      <c r="C126" s="49" t="s">
        <v>350</v>
      </c>
      <c r="D126" s="49" t="s">
        <v>351</v>
      </c>
      <c r="E126" s="49" t="b">
        <v>1</v>
      </c>
      <c r="F126" s="49">
        <v>0</v>
      </c>
      <c r="G126" s="49">
        <v>4</v>
      </c>
    </row>
    <row r="127" spans="1:7" x14ac:dyDescent="0.25">
      <c r="A127" s="50" t="s">
        <v>352</v>
      </c>
      <c r="B127" s="49">
        <f>Data!$AM$3:$AM$195</f>
        <v>986</v>
      </c>
    </row>
    <row r="128" spans="1:7" x14ac:dyDescent="0.25">
      <c r="A128" s="50" t="s">
        <v>353</v>
      </c>
    </row>
    <row r="129" spans="1:7" x14ac:dyDescent="0.25">
      <c r="A129" s="50" t="s">
        <v>354</v>
      </c>
      <c r="B129" s="49" t="s">
        <v>355</v>
      </c>
      <c r="C129" s="49" t="s">
        <v>356</v>
      </c>
      <c r="D129" s="49" t="s">
        <v>357</v>
      </c>
      <c r="E129" s="49" t="b">
        <v>1</v>
      </c>
      <c r="F129" s="49">
        <v>0</v>
      </c>
      <c r="G129" s="49">
        <v>4</v>
      </c>
    </row>
    <row r="130" spans="1:7" x14ac:dyDescent="0.25">
      <c r="A130" s="50" t="s">
        <v>358</v>
      </c>
      <c r="B130" s="49">
        <f>Data!$AN$3:$AN$195</f>
        <v>329</v>
      </c>
    </row>
    <row r="131" spans="1:7" x14ac:dyDescent="0.25">
      <c r="A131" s="50" t="s">
        <v>359</v>
      </c>
    </row>
    <row r="132" spans="1:7" x14ac:dyDescent="0.25">
      <c r="A132" s="50" t="s">
        <v>360</v>
      </c>
      <c r="B132" s="49" t="s">
        <v>361</v>
      </c>
      <c r="C132" s="49" t="s">
        <v>362</v>
      </c>
      <c r="D132" s="49" t="s">
        <v>363</v>
      </c>
      <c r="E132" s="49" t="b">
        <v>1</v>
      </c>
      <c r="F132" s="49">
        <v>0</v>
      </c>
      <c r="G132" s="49">
        <v>4</v>
      </c>
    </row>
    <row r="133" spans="1:7" x14ac:dyDescent="0.25">
      <c r="A133" s="50" t="s">
        <v>364</v>
      </c>
      <c r="B133" s="49">
        <f>Data!$AO$3:$AO$195</f>
        <v>320</v>
      </c>
    </row>
    <row r="134" spans="1:7" x14ac:dyDescent="0.25">
      <c r="A134" s="50" t="s">
        <v>365</v>
      </c>
    </row>
    <row r="135" spans="1:7" x14ac:dyDescent="0.25">
      <c r="A135" s="50" t="s">
        <v>366</v>
      </c>
      <c r="B135" s="49" t="s">
        <v>367</v>
      </c>
      <c r="C135" s="49" t="s">
        <v>368</v>
      </c>
      <c r="D135" s="49" t="s">
        <v>369</v>
      </c>
      <c r="E135" s="49" t="b">
        <v>1</v>
      </c>
      <c r="F135" s="49">
        <v>0</v>
      </c>
      <c r="G135" s="49">
        <v>4</v>
      </c>
    </row>
    <row r="136" spans="1:7" x14ac:dyDescent="0.25">
      <c r="A136" s="50" t="s">
        <v>370</v>
      </c>
      <c r="B136" s="49">
        <f>Data!$AP$3:$AP$195</f>
        <v>528</v>
      </c>
    </row>
    <row r="137" spans="1:7" x14ac:dyDescent="0.25">
      <c r="A137" s="50" t="s">
        <v>371</v>
      </c>
    </row>
    <row r="138" spans="1:7" x14ac:dyDescent="0.25">
      <c r="A138" s="50" t="s">
        <v>372</v>
      </c>
      <c r="B138" s="49" t="s">
        <v>373</v>
      </c>
      <c r="C138" s="49" t="s">
        <v>374</v>
      </c>
      <c r="D138" s="49" t="s">
        <v>375</v>
      </c>
      <c r="E138" s="49" t="b">
        <v>1</v>
      </c>
      <c r="F138" s="49">
        <v>0</v>
      </c>
      <c r="G138" s="49">
        <v>4</v>
      </c>
    </row>
    <row r="139" spans="1:7" x14ac:dyDescent="0.25">
      <c r="A139" s="50" t="s">
        <v>376</v>
      </c>
      <c r="B139" s="49">
        <f>Data!$AQ$3:$AQ$195</f>
        <v>2867</v>
      </c>
    </row>
    <row r="140" spans="1:7" x14ac:dyDescent="0.25">
      <c r="A140" s="50" t="s">
        <v>377</v>
      </c>
    </row>
    <row r="141" spans="1:7" x14ac:dyDescent="0.25">
      <c r="A141" s="50" t="s">
        <v>378</v>
      </c>
      <c r="B141" s="49" t="s">
        <v>379</v>
      </c>
      <c r="C141" s="49" t="s">
        <v>380</v>
      </c>
      <c r="D141" s="49" t="s">
        <v>381</v>
      </c>
      <c r="E141" s="49" t="b">
        <v>1</v>
      </c>
      <c r="F141" s="49">
        <v>0</v>
      </c>
      <c r="G141" s="49">
        <v>4</v>
      </c>
    </row>
    <row r="142" spans="1:7" x14ac:dyDescent="0.25">
      <c r="A142" s="50" t="s">
        <v>382</v>
      </c>
      <c r="B142" s="49">
        <f>Data!$AR$3:$AR$195</f>
        <v>19</v>
      </c>
    </row>
    <row r="143" spans="1:7" x14ac:dyDescent="0.25">
      <c r="A143" s="50" t="s">
        <v>383</v>
      </c>
    </row>
    <row r="144" spans="1:7" x14ac:dyDescent="0.25">
      <c r="A144" s="50" t="s">
        <v>384</v>
      </c>
      <c r="B144" s="49" t="s">
        <v>385</v>
      </c>
      <c r="C144" s="49" t="s">
        <v>386</v>
      </c>
      <c r="D144" s="49" t="s">
        <v>387</v>
      </c>
      <c r="E144" s="49" t="b">
        <v>1</v>
      </c>
      <c r="F144" s="49">
        <v>0</v>
      </c>
      <c r="G144" s="49">
        <v>4</v>
      </c>
    </row>
    <row r="145" spans="1:7" x14ac:dyDescent="0.25">
      <c r="A145" s="50" t="s">
        <v>388</v>
      </c>
      <c r="B145" s="49">
        <f>Data!$AS$3:$AS$195</f>
        <v>163</v>
      </c>
    </row>
    <row r="146" spans="1:7" x14ac:dyDescent="0.25">
      <c r="A146" s="50" t="s">
        <v>389</v>
      </c>
    </row>
    <row r="147" spans="1:7" x14ac:dyDescent="0.25">
      <c r="A147" s="50" t="s">
        <v>390</v>
      </c>
      <c r="B147" s="49" t="s">
        <v>391</v>
      </c>
      <c r="C147" s="49" t="s">
        <v>392</v>
      </c>
      <c r="D147" s="49" t="s">
        <v>393</v>
      </c>
      <c r="E147" s="49" t="b">
        <v>1</v>
      </c>
      <c r="F147" s="49">
        <v>0</v>
      </c>
      <c r="G147" s="49">
        <v>4</v>
      </c>
    </row>
    <row r="148" spans="1:7" x14ac:dyDescent="0.25">
      <c r="A148" s="50" t="s">
        <v>394</v>
      </c>
      <c r="B148" s="49">
        <f>Data!$AT$3:$AT$195</f>
        <v>49</v>
      </c>
    </row>
    <row r="149" spans="1:7" x14ac:dyDescent="0.25">
      <c r="A149" s="50" t="s">
        <v>395</v>
      </c>
    </row>
    <row r="150" spans="1:7" x14ac:dyDescent="0.25">
      <c r="A150" s="50" t="s">
        <v>396</v>
      </c>
      <c r="B150" s="49" t="s">
        <v>397</v>
      </c>
      <c r="C150" s="49" t="s">
        <v>398</v>
      </c>
      <c r="D150" s="49" t="s">
        <v>399</v>
      </c>
      <c r="E150" s="49" t="b">
        <v>1</v>
      </c>
      <c r="F150" s="49">
        <v>0</v>
      </c>
      <c r="G150" s="49">
        <v>4</v>
      </c>
    </row>
    <row r="151" spans="1:7" x14ac:dyDescent="0.25">
      <c r="A151" s="50" t="s">
        <v>400</v>
      </c>
      <c r="B151" s="49">
        <f>Data!$AU$3:$AU$195</f>
        <v>165</v>
      </c>
    </row>
    <row r="152" spans="1:7" x14ac:dyDescent="0.25">
      <c r="A152" s="50" t="s">
        <v>401</v>
      </c>
    </row>
    <row r="153" spans="1:7" x14ac:dyDescent="0.25">
      <c r="A153" s="50" t="s">
        <v>402</v>
      </c>
      <c r="B153" s="49" t="s">
        <v>403</v>
      </c>
      <c r="C153" s="49" t="s">
        <v>404</v>
      </c>
      <c r="D153" s="49" t="s">
        <v>405</v>
      </c>
      <c r="E153" s="49" t="b">
        <v>1</v>
      </c>
      <c r="F153" s="49">
        <v>0</v>
      </c>
      <c r="G153" s="49">
        <v>4</v>
      </c>
    </row>
    <row r="154" spans="1:7" x14ac:dyDescent="0.25">
      <c r="A154" s="50" t="s">
        <v>406</v>
      </c>
      <c r="B154" s="49">
        <f>Data!$AV$3:$AV$195</f>
        <v>507</v>
      </c>
    </row>
    <row r="155" spans="1:7" x14ac:dyDescent="0.25">
      <c r="A155" s="50" t="s">
        <v>407</v>
      </c>
    </row>
    <row r="156" spans="1:7" x14ac:dyDescent="0.25">
      <c r="A156" s="50" t="s">
        <v>408</v>
      </c>
      <c r="B156" s="49" t="s">
        <v>409</v>
      </c>
      <c r="C156" s="49" t="s">
        <v>410</v>
      </c>
      <c r="D156" s="49" t="s">
        <v>411</v>
      </c>
      <c r="E156" s="49" t="b">
        <v>1</v>
      </c>
      <c r="F156" s="49">
        <v>0</v>
      </c>
      <c r="G156" s="49">
        <v>4</v>
      </c>
    </row>
    <row r="157" spans="1:7" x14ac:dyDescent="0.25">
      <c r="A157" s="50" t="s">
        <v>412</v>
      </c>
      <c r="B157" s="49">
        <f>Data!$AW$3:$AW$195</f>
        <v>1349</v>
      </c>
    </row>
    <row r="158" spans="1:7" x14ac:dyDescent="0.25">
      <c r="A158" s="50" t="s">
        <v>413</v>
      </c>
    </row>
    <row r="159" spans="1:7" x14ac:dyDescent="0.25">
      <c r="A159" s="50" t="s">
        <v>414</v>
      </c>
      <c r="B159" s="49" t="s">
        <v>415</v>
      </c>
      <c r="C159" s="49" t="s">
        <v>416</v>
      </c>
      <c r="D159" s="49" t="s">
        <v>417</v>
      </c>
      <c r="E159" s="49" t="b">
        <v>1</v>
      </c>
      <c r="F159" s="49">
        <v>0</v>
      </c>
      <c r="G159" s="49">
        <v>4</v>
      </c>
    </row>
    <row r="160" spans="1:7" x14ac:dyDescent="0.25">
      <c r="A160" s="50" t="s">
        <v>418</v>
      </c>
      <c r="B160" s="49">
        <f>Data!$AX$3:$AX$195</f>
        <v>22</v>
      </c>
    </row>
    <row r="161" spans="1:7" x14ac:dyDescent="0.25">
      <c r="A161" s="50" t="s">
        <v>419</v>
      </c>
    </row>
    <row r="162" spans="1:7" x14ac:dyDescent="0.25">
      <c r="A162" s="50" t="s">
        <v>420</v>
      </c>
      <c r="B162" s="49" t="s">
        <v>421</v>
      </c>
      <c r="C162" s="49" t="s">
        <v>422</v>
      </c>
      <c r="D162" s="49" t="s">
        <v>423</v>
      </c>
      <c r="E162" s="49" t="b">
        <v>1</v>
      </c>
      <c r="F162" s="49">
        <v>0</v>
      </c>
      <c r="G162" s="49">
        <v>4</v>
      </c>
    </row>
    <row r="163" spans="1:7" x14ac:dyDescent="0.25">
      <c r="A163" s="50" t="s">
        <v>424</v>
      </c>
      <c r="B163" s="49">
        <f>Data!$AY$3:$AY$195</f>
        <v>74</v>
      </c>
    </row>
    <row r="164" spans="1:7" x14ac:dyDescent="0.25">
      <c r="A164" s="50" t="s">
        <v>425</v>
      </c>
    </row>
    <row r="165" spans="1:7" x14ac:dyDescent="0.25">
      <c r="A165" s="50" t="s">
        <v>426</v>
      </c>
      <c r="B165" s="49" t="s">
        <v>427</v>
      </c>
      <c r="C165" s="49" t="s">
        <v>428</v>
      </c>
      <c r="D165" s="49" t="s">
        <v>429</v>
      </c>
      <c r="E165" s="49" t="b">
        <v>1</v>
      </c>
      <c r="F165" s="49">
        <v>0</v>
      </c>
      <c r="G165" s="49">
        <v>4</v>
      </c>
    </row>
    <row r="166" spans="1:7" x14ac:dyDescent="0.25">
      <c r="A166" s="50" t="s">
        <v>430</v>
      </c>
      <c r="B166" s="49">
        <f>Data!$AZ$3:$AZ$195</f>
        <v>21</v>
      </c>
    </row>
    <row r="167" spans="1:7" x14ac:dyDescent="0.25">
      <c r="A167" s="50" t="s">
        <v>431</v>
      </c>
    </row>
    <row r="168" spans="1:7" x14ac:dyDescent="0.25">
      <c r="A168" s="50" t="s">
        <v>432</v>
      </c>
      <c r="B168" s="49" t="s">
        <v>433</v>
      </c>
      <c r="C168" s="49" t="s">
        <v>434</v>
      </c>
      <c r="D168" s="49" t="s">
        <v>435</v>
      </c>
      <c r="E168" s="49" t="b">
        <v>1</v>
      </c>
      <c r="F168" s="49">
        <v>0</v>
      </c>
      <c r="G168" s="49">
        <v>4</v>
      </c>
    </row>
    <row r="169" spans="1:7" x14ac:dyDescent="0.25">
      <c r="A169" s="50" t="s">
        <v>436</v>
      </c>
      <c r="B169" s="49">
        <f>Data!$BA$3:$BA$195</f>
        <v>12</v>
      </c>
    </row>
    <row r="170" spans="1:7" x14ac:dyDescent="0.25">
      <c r="A170" s="50" t="s">
        <v>437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77"/>
  <sheetViews>
    <sheetView showGridLines="0" workbookViewId="0"/>
  </sheetViews>
  <sheetFormatPr defaultColWidth="12.7109375" defaultRowHeight="15" x14ac:dyDescent="0.25"/>
  <cols>
    <col min="1" max="1" width="22.140625" bestFit="1" customWidth="1"/>
    <col min="2" max="10" width="12.7109375" customWidth="1"/>
    <col min="12" max="13" width="12.7109375" customWidth="1"/>
    <col min="16" max="17" width="12.7109375" customWidth="1"/>
    <col min="18" max="18" width="13.28515625" bestFit="1" customWidth="1"/>
    <col min="19" max="19" width="15.42578125" bestFit="1" customWidth="1"/>
    <col min="20" max="21" width="12.7109375" customWidth="1"/>
    <col min="22" max="22" width="13.5703125" bestFit="1" customWidth="1"/>
    <col min="23" max="23" width="12.7109375" customWidth="1"/>
    <col min="24" max="24" width="13.140625" bestFit="1" customWidth="1"/>
    <col min="25" max="32" width="12.7109375" customWidth="1"/>
    <col min="33" max="33" width="13.28515625" bestFit="1" customWidth="1"/>
    <col min="34" max="34" width="13.7109375" bestFit="1" customWidth="1"/>
    <col min="35" max="35" width="15.42578125" bestFit="1" customWidth="1"/>
    <col min="36" max="36" width="22.140625" bestFit="1" customWidth="1"/>
    <col min="37" max="37" width="15.5703125" bestFit="1" customWidth="1"/>
    <col min="38" max="38" width="14.28515625" bestFit="1" customWidth="1"/>
    <col min="39" max="39" width="18.85546875" bestFit="1" customWidth="1"/>
    <col min="40" max="40" width="12.7109375" customWidth="1"/>
    <col min="42" max="42" width="22" bestFit="1" customWidth="1"/>
    <col min="43" max="43" width="16" bestFit="1" customWidth="1"/>
    <col min="44" max="44" width="14.7109375" bestFit="1" customWidth="1"/>
    <col min="45" max="45" width="19.28515625" bestFit="1" customWidth="1"/>
    <col min="46" max="46" width="13.5703125" bestFit="1" customWidth="1"/>
    <col min="47" max="47" width="14.140625" bestFit="1" customWidth="1"/>
  </cols>
  <sheetData>
    <row r="1" spans="1:47" s="51" customFormat="1" ht="18.75" x14ac:dyDescent="0.3">
      <c r="A1" s="53" t="s">
        <v>438</v>
      </c>
      <c r="B1" s="56" t="s">
        <v>439</v>
      </c>
    </row>
    <row r="2" spans="1:47" s="51" customFormat="1" ht="11.25" x14ac:dyDescent="0.2">
      <c r="A2" s="54" t="s">
        <v>440</v>
      </c>
      <c r="B2" s="56" t="s">
        <v>441</v>
      </c>
    </row>
    <row r="3" spans="1:47" s="51" customFormat="1" ht="11.25" x14ac:dyDescent="0.2">
      <c r="A3" s="54" t="s">
        <v>442</v>
      </c>
      <c r="B3" s="56" t="s">
        <v>443</v>
      </c>
    </row>
    <row r="4" spans="1:47" s="51" customFormat="1" ht="11.25" x14ac:dyDescent="0.2">
      <c r="A4" s="54" t="s">
        <v>444</v>
      </c>
      <c r="B4" s="56" t="s">
        <v>450</v>
      </c>
    </row>
    <row r="5" spans="1:47" s="52" customFormat="1" ht="11.25" x14ac:dyDescent="0.2">
      <c r="A5" s="55" t="s">
        <v>445</v>
      </c>
      <c r="B5" s="57" t="s">
        <v>446</v>
      </c>
    </row>
    <row r="6" spans="1:47" ht="15" customHeight="1" x14ac:dyDescent="0.25"/>
    <row r="7" spans="1:47" ht="15" customHeight="1" x14ac:dyDescent="0.25">
      <c r="A7" s="61"/>
      <c r="B7" s="58" t="s">
        <v>83</v>
      </c>
      <c r="C7" s="58" t="s">
        <v>65</v>
      </c>
      <c r="D7" s="58" t="s">
        <v>41</v>
      </c>
      <c r="E7" s="58" t="s">
        <v>42</v>
      </c>
      <c r="F7" s="58" t="s">
        <v>43</v>
      </c>
      <c r="G7" s="58" t="s">
        <v>44</v>
      </c>
      <c r="H7" s="58" t="s">
        <v>50</v>
      </c>
      <c r="I7" s="58" t="s">
        <v>47</v>
      </c>
      <c r="J7" s="58" t="s">
        <v>48</v>
      </c>
      <c r="K7" s="58" t="s">
        <v>46</v>
      </c>
      <c r="L7" s="58" t="s">
        <v>45</v>
      </c>
      <c r="M7" s="58" t="s">
        <v>86</v>
      </c>
      <c r="N7" s="58" t="s">
        <v>87</v>
      </c>
      <c r="O7" s="58" t="s">
        <v>49</v>
      </c>
      <c r="P7" s="58" t="s">
        <v>51</v>
      </c>
      <c r="Q7" s="58" t="s">
        <v>52</v>
      </c>
      <c r="R7" s="58" t="s">
        <v>53</v>
      </c>
      <c r="S7" s="58" t="s">
        <v>85</v>
      </c>
      <c r="T7" s="58" t="s">
        <v>54</v>
      </c>
      <c r="U7" s="58" t="s">
        <v>35</v>
      </c>
      <c r="V7" s="58" t="s">
        <v>56</v>
      </c>
      <c r="W7" s="58" t="s">
        <v>36</v>
      </c>
      <c r="X7" s="58" t="s">
        <v>57</v>
      </c>
      <c r="Y7" s="58" t="s">
        <v>37</v>
      </c>
      <c r="Z7" s="58" t="s">
        <v>38</v>
      </c>
      <c r="AA7" s="58" t="s">
        <v>39</v>
      </c>
      <c r="AB7" s="58" t="s">
        <v>40</v>
      </c>
      <c r="AC7" s="58" t="s">
        <v>58</v>
      </c>
      <c r="AD7" s="58" t="s">
        <v>59</v>
      </c>
      <c r="AE7" s="58" t="s">
        <v>64</v>
      </c>
      <c r="AF7" s="58" t="s">
        <v>69</v>
      </c>
      <c r="AG7" s="58" t="s">
        <v>70</v>
      </c>
      <c r="AH7" s="58" t="s">
        <v>71</v>
      </c>
      <c r="AI7" s="58" t="s">
        <v>72</v>
      </c>
      <c r="AJ7" s="58" t="s">
        <v>73</v>
      </c>
      <c r="AK7" s="58" t="s">
        <v>74</v>
      </c>
      <c r="AL7" s="58" t="s">
        <v>75</v>
      </c>
      <c r="AM7" s="58" t="s">
        <v>77</v>
      </c>
      <c r="AN7" s="58" t="s">
        <v>88</v>
      </c>
      <c r="AO7" s="58" t="s">
        <v>89</v>
      </c>
      <c r="AP7" s="58" t="s">
        <v>78</v>
      </c>
      <c r="AQ7" s="58" t="s">
        <v>79</v>
      </c>
      <c r="AR7" s="58" t="s">
        <v>80</v>
      </c>
      <c r="AS7" s="58" t="s">
        <v>81</v>
      </c>
      <c r="AT7" s="58" t="s">
        <v>76</v>
      </c>
      <c r="AU7" s="58" t="s">
        <v>82</v>
      </c>
    </row>
    <row r="8" spans="1:47" ht="15" customHeight="1" thickBot="1" x14ac:dyDescent="0.3">
      <c r="A8" s="62" t="s">
        <v>447</v>
      </c>
      <c r="B8" s="59" t="s">
        <v>108</v>
      </c>
      <c r="C8" s="59" t="s">
        <v>108</v>
      </c>
      <c r="D8" s="59" t="s">
        <v>108</v>
      </c>
      <c r="E8" s="59" t="s">
        <v>108</v>
      </c>
      <c r="F8" s="59" t="s">
        <v>108</v>
      </c>
      <c r="G8" s="59" t="s">
        <v>108</v>
      </c>
      <c r="H8" s="59" t="s">
        <v>108</v>
      </c>
      <c r="I8" s="59" t="s">
        <v>108</v>
      </c>
      <c r="J8" s="59" t="s">
        <v>108</v>
      </c>
      <c r="K8" s="59" t="s">
        <v>108</v>
      </c>
      <c r="L8" s="59" t="s">
        <v>108</v>
      </c>
      <c r="M8" s="59" t="s">
        <v>108</v>
      </c>
      <c r="N8" s="59" t="s">
        <v>108</v>
      </c>
      <c r="O8" s="59" t="s">
        <v>108</v>
      </c>
      <c r="P8" s="59" t="s">
        <v>108</v>
      </c>
      <c r="Q8" s="59" t="s">
        <v>108</v>
      </c>
      <c r="R8" s="59" t="s">
        <v>108</v>
      </c>
      <c r="S8" s="59" t="s">
        <v>108</v>
      </c>
      <c r="T8" s="59" t="s">
        <v>108</v>
      </c>
      <c r="U8" s="59" t="s">
        <v>108</v>
      </c>
      <c r="V8" s="59" t="s">
        <v>108</v>
      </c>
      <c r="W8" s="59" t="s">
        <v>108</v>
      </c>
      <c r="X8" s="59" t="s">
        <v>108</v>
      </c>
      <c r="Y8" s="59" t="s">
        <v>108</v>
      </c>
      <c r="Z8" s="59" t="s">
        <v>108</v>
      </c>
      <c r="AA8" s="59" t="s">
        <v>108</v>
      </c>
      <c r="AB8" s="59" t="s">
        <v>108</v>
      </c>
      <c r="AC8" s="59" t="s">
        <v>108</v>
      </c>
      <c r="AD8" s="59" t="s">
        <v>108</v>
      </c>
      <c r="AE8" s="59" t="s">
        <v>108</v>
      </c>
      <c r="AF8" s="59" t="s">
        <v>108</v>
      </c>
      <c r="AG8" s="59" t="s">
        <v>108</v>
      </c>
      <c r="AH8" s="59" t="s">
        <v>108</v>
      </c>
      <c r="AI8" s="59" t="s">
        <v>108</v>
      </c>
      <c r="AJ8" s="59" t="s">
        <v>108</v>
      </c>
      <c r="AK8" s="59" t="s">
        <v>108</v>
      </c>
      <c r="AL8" s="59" t="s">
        <v>108</v>
      </c>
      <c r="AM8" s="59" t="s">
        <v>108</v>
      </c>
      <c r="AN8" s="59" t="s">
        <v>108</v>
      </c>
      <c r="AO8" s="59" t="s">
        <v>108</v>
      </c>
      <c r="AP8" s="59" t="s">
        <v>108</v>
      </c>
      <c r="AQ8" s="59" t="s">
        <v>108</v>
      </c>
      <c r="AR8" s="59" t="s">
        <v>108</v>
      </c>
      <c r="AS8" s="59" t="s">
        <v>108</v>
      </c>
      <c r="AT8" s="59" t="s">
        <v>108</v>
      </c>
      <c r="AU8" s="59" t="s">
        <v>108</v>
      </c>
    </row>
    <row r="9" spans="1:47" ht="15" customHeight="1" thickTop="1" x14ac:dyDescent="0.25">
      <c r="A9" s="60" t="s">
        <v>83</v>
      </c>
      <c r="B9" s="63">
        <v>1</v>
      </c>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row>
    <row r="10" spans="1:47" ht="15" customHeight="1" x14ac:dyDescent="0.25">
      <c r="A10" s="60" t="s">
        <v>65</v>
      </c>
      <c r="B10" s="66">
        <f>_xll.StatCorrelationCoeff( ST_PointsScored,ST_Wins)</f>
        <v>0.78053047059124403</v>
      </c>
      <c r="C10" s="63">
        <v>1</v>
      </c>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row>
    <row r="11" spans="1:47" ht="15" customHeight="1" x14ac:dyDescent="0.25">
      <c r="A11" s="60" t="s">
        <v>45</v>
      </c>
      <c r="B11" s="66">
        <f>_xll.StatCorrelationCoeff( ST_QBRating,ST_Wins)</f>
        <v>0.66609351131827033</v>
      </c>
      <c r="C11" s="63">
        <f>_xll.StatCorrelationCoeff( ST_QBRating,ST_PointsScored)</f>
        <v>0.81216673786663995</v>
      </c>
      <c r="D11" s="63">
        <f>_xll.StatCorrelationCoeff( ST_QBRating,ST_Yards)</f>
        <v>0.80005148767475187</v>
      </c>
      <c r="E11" s="63">
        <f>_xll.StatCorrelationCoeff( ST_QBRating,ST_Plays)</f>
        <v>0.26385570104850475</v>
      </c>
      <c r="F11" s="63">
        <f>_xll.StatCorrelationCoeff( ST_QBRating,ST_1stDowns)</f>
        <v>0.76642831550379353</v>
      </c>
      <c r="G11" s="63">
        <f>_xll.StatCorrelationCoeff( ST_QBRating,ST_Completions)</f>
        <v>0.5364531514385219</v>
      </c>
      <c r="H11" s="63">
        <f>_xll.StatCorrelationCoeff( ST_QBRating,ST_PassAttempts)</f>
        <v>0.18872154232162966</v>
      </c>
      <c r="I11" s="63">
        <f>_xll.StatCorrelationCoeff( ST_QBRating,ST_PassingYards)</f>
        <v>0.74583406761110382</v>
      </c>
      <c r="J11" s="63">
        <f>_xll.StatCorrelationCoeff( ST_QBRating,ST_PassingTDs)</f>
        <v>0.82141335623814604</v>
      </c>
      <c r="K11" s="63">
        <f>_xll.StatCorrelationCoeff( ST_QBRating,ST_1stDownsPassing)</f>
        <v>0.71330515098228986</v>
      </c>
      <c r="L11" s="63">
        <v>1</v>
      </c>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row>
    <row r="12" spans="1:47" ht="15" customHeight="1" x14ac:dyDescent="0.25">
      <c r="A12" s="60" t="s">
        <v>41</v>
      </c>
      <c r="B12" s="66">
        <f>_xll.StatCorrelationCoeff( ST_Yards,ST_Wins)</f>
        <v>0.61202883819754739</v>
      </c>
      <c r="C12" s="63">
        <f>_xll.StatCorrelationCoeff( ST_Yards,ST_PointsScored)</f>
        <v>0.83699997337533627</v>
      </c>
      <c r="D12" s="63">
        <v>1</v>
      </c>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row>
    <row r="13" spans="1:47" ht="15" customHeight="1" x14ac:dyDescent="0.25">
      <c r="A13" s="60" t="s">
        <v>52</v>
      </c>
      <c r="B13" s="66">
        <f>_xll.StatCorrelationCoeff( ST_RushingTDs,ST_Wins)</f>
        <v>0.60879033038925578</v>
      </c>
      <c r="C13" s="63">
        <f>_xll.StatCorrelationCoeff( ST_RushingTDs,ST_PointsScored)</f>
        <v>0.66997308789537413</v>
      </c>
      <c r="D13" s="63">
        <f>_xll.StatCorrelationCoeff( ST_RushingTDs,ST_Yards)</f>
        <v>0.54444133624615332</v>
      </c>
      <c r="E13" s="63">
        <f>_xll.StatCorrelationCoeff( ST_RushingTDs,ST_Plays)</f>
        <v>0.29658900871519767</v>
      </c>
      <c r="F13" s="63">
        <f>_xll.StatCorrelationCoeff( ST_RushingTDs,ST_1stDowns)</f>
        <v>0.55301623307527337</v>
      </c>
      <c r="G13" s="63">
        <f>_xll.StatCorrelationCoeff( ST_RushingTDs,ST_Completions)</f>
        <v>-1.8952179297627242E-2</v>
      </c>
      <c r="H13" s="63">
        <f>_xll.StatCorrelationCoeff( ST_RushingTDs,ST_PassAttempts)</f>
        <v>-0.22031937333199064</v>
      </c>
      <c r="I13" s="63">
        <f>_xll.StatCorrelationCoeff( ST_RushingTDs,ST_PassingYards)</f>
        <v>0.21269137574294211</v>
      </c>
      <c r="J13" s="63">
        <f>_xll.StatCorrelationCoeff( ST_RushingTDs,ST_PassingTDs)</f>
        <v>0.17483104442889053</v>
      </c>
      <c r="K13" s="63">
        <f>_xll.StatCorrelationCoeff( ST_RushingTDs,ST_1stDownsPassing)</f>
        <v>0.20006964753790865</v>
      </c>
      <c r="L13" s="63">
        <f>_xll.StatCorrelationCoeff( ST_RushingTDs,ST_QBRating)</f>
        <v>0.42818472642931343</v>
      </c>
      <c r="M13" s="63">
        <f>_xll.StatCorrelationCoeff( ST_RushingTDs,ST_SacksAgainst)</f>
        <v>-0.40643699751980444</v>
      </c>
      <c r="N13" s="63">
        <f>_xll.StatCorrelationCoeff( ST_RushingTDs,ST_SackyardsAgainst)</f>
        <v>-0.41350309691772991</v>
      </c>
      <c r="O13" s="63">
        <f>_xll.StatCorrelationCoeff( ST_RushingTDs,ST_RushingAttempts)</f>
        <v>0.55621247962854781</v>
      </c>
      <c r="P13" s="63">
        <f>_xll.StatCorrelationCoeff( ST_RushingTDs,ST_RushingYards)</f>
        <v>0.60081443592765271</v>
      </c>
      <c r="Q13" s="63">
        <v>1</v>
      </c>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row>
    <row r="14" spans="1:47" ht="15" customHeight="1" x14ac:dyDescent="0.25">
      <c r="A14" s="60" t="s">
        <v>43</v>
      </c>
      <c r="B14" s="66">
        <f>_xll.StatCorrelationCoeff( ST_1stDowns,ST_Wins)</f>
        <v>0.58759700159818062</v>
      </c>
      <c r="C14" s="63">
        <f>_xll.StatCorrelationCoeff( ST_1stDowns,ST_PointsScored)</f>
        <v>0.79311547625574075</v>
      </c>
      <c r="D14" s="63">
        <f>_xll.StatCorrelationCoeff( ST_1stDowns,ST_Yards)</f>
        <v>0.9117731706965464</v>
      </c>
      <c r="E14" s="63">
        <f>_xll.StatCorrelationCoeff( ST_1stDowns,ST_Plays)</f>
        <v>0.66421111191379567</v>
      </c>
      <c r="F14" s="63">
        <v>1</v>
      </c>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row>
    <row r="15" spans="1:47" ht="15" customHeight="1" x14ac:dyDescent="0.25">
      <c r="A15" s="60" t="s">
        <v>48</v>
      </c>
      <c r="B15" s="63">
        <f>_xll.StatCorrelationCoeff( ST_PassingTDs,ST_Wins)</f>
        <v>0.53271107456640188</v>
      </c>
      <c r="C15" s="63">
        <f>_xll.StatCorrelationCoeff( ST_PassingTDs,ST_PointsScored)</f>
        <v>0.79058232989552746</v>
      </c>
      <c r="D15" s="63">
        <f>_xll.StatCorrelationCoeff( ST_PassingTDs,ST_Yards)</f>
        <v>0.747103673892342</v>
      </c>
      <c r="E15" s="63">
        <f>_xll.StatCorrelationCoeff( ST_PassingTDs,ST_Plays)</f>
        <v>0.29025396983696866</v>
      </c>
      <c r="F15" s="63">
        <f>_xll.StatCorrelationCoeff( ST_PassingTDs,ST_1stDowns)</f>
        <v>0.70835973544768327</v>
      </c>
      <c r="G15" s="63">
        <f>_xll.StatCorrelationCoeff( ST_PassingTDs,ST_Completions)</f>
        <v>0.58774803360393113</v>
      </c>
      <c r="H15" s="63">
        <f>_xll.StatCorrelationCoeff( ST_PassingTDs,ST_PassAttempts)</f>
        <v>0.4061639380318729</v>
      </c>
      <c r="I15" s="63">
        <f>_xll.StatCorrelationCoeff( ST_PassingTDs,ST_PassingYards)</f>
        <v>0.78750220334219867</v>
      </c>
      <c r="J15" s="63">
        <v>1</v>
      </c>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row>
    <row r="16" spans="1:47" ht="15" customHeight="1" x14ac:dyDescent="0.25">
      <c r="A16" s="60" t="s">
        <v>53</v>
      </c>
      <c r="B16" s="63">
        <f>_xll.StatCorrelationCoeff( ST_1stDownsRushing,ST_Wins)</f>
        <v>0.50576245655742436</v>
      </c>
      <c r="C16" s="63">
        <f>_xll.StatCorrelationCoeff( ST_1stDownsRushing,ST_PointsScored)</f>
        <v>0.456937706635833</v>
      </c>
      <c r="D16" s="63">
        <f>_xll.StatCorrelationCoeff( ST_1stDownsRushing,ST_Yards)</f>
        <v>0.44016428743804031</v>
      </c>
      <c r="E16" s="63">
        <f>_xll.StatCorrelationCoeff( ST_1stDownsRushing,ST_Plays)</f>
        <v>0.35875237152399125</v>
      </c>
      <c r="F16" s="63">
        <f>_xll.StatCorrelationCoeff( ST_1stDownsRushing,ST_1stDowns)</f>
        <v>0.48558855616788704</v>
      </c>
      <c r="G16" s="63">
        <f>_xll.StatCorrelationCoeff( ST_1stDownsRushing,ST_Completions)</f>
        <v>-0.27268123670263739</v>
      </c>
      <c r="H16" s="63">
        <f>_xll.StatCorrelationCoeff( ST_1stDownsRushing,ST_PassAttempts)</f>
        <v>-0.43261327651625198</v>
      </c>
      <c r="I16" s="63">
        <f>_xll.StatCorrelationCoeff( ST_1stDownsRushing,ST_PassingYards)</f>
        <v>-4.4689607247037327E-2</v>
      </c>
      <c r="J16" s="63">
        <f>_xll.StatCorrelationCoeff( ST_1stDownsRushing,ST_PassingTDs)</f>
        <v>8.4733028068186292E-2</v>
      </c>
      <c r="K16" s="63">
        <f>_xll.StatCorrelationCoeff( ST_1stDownsRushing,ST_1stDownsPassing)</f>
        <v>-5.091995937699418E-2</v>
      </c>
      <c r="L16" s="63">
        <f>_xll.StatCorrelationCoeff( ST_1stDownsRushing,ST_QBRating)</f>
        <v>0.29481932703760827</v>
      </c>
      <c r="M16" s="63">
        <f>_xll.StatCorrelationCoeff( ST_1stDownsRushing,ST_SacksAgainst)</f>
        <v>-0.33233229501745576</v>
      </c>
      <c r="N16" s="63">
        <f>_xll.StatCorrelationCoeff( ST_1stDownsRushing,ST_SackyardsAgainst)</f>
        <v>-0.34886752471764415</v>
      </c>
      <c r="O16" s="63">
        <f>_xll.StatCorrelationCoeff( ST_1stDownsRushing,ST_RushingAttempts)</f>
        <v>0.81404340714640511</v>
      </c>
      <c r="P16" s="63">
        <f>_xll.StatCorrelationCoeff( ST_1stDownsRushing,ST_RushingYards)</f>
        <v>0.87530402571506072</v>
      </c>
      <c r="Q16" s="63">
        <f>_xll.StatCorrelationCoeff( ST_1stDownsRushing,ST_RushingTDs)</f>
        <v>0.70683259159309908</v>
      </c>
      <c r="R16" s="63">
        <v>1</v>
      </c>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row>
    <row r="17" spans="1:47" ht="15" customHeight="1" x14ac:dyDescent="0.25">
      <c r="A17" s="60" t="s">
        <v>89</v>
      </c>
      <c r="B17" s="63">
        <f>_xll.StatCorrelationCoeff( ST_SackYardsCaused,ST_Wins)</f>
        <v>0.49800450058605472</v>
      </c>
      <c r="C17" s="63">
        <f>_xll.StatCorrelationCoeff( ST_SackYardsCaused,ST_PointsScored)</f>
        <v>0.3780098416417001</v>
      </c>
      <c r="D17" s="63">
        <f>_xll.StatCorrelationCoeff( ST_SackYardsCaused,ST_Yards)</f>
        <v>0.23818772239797426</v>
      </c>
      <c r="E17" s="63">
        <f>_xll.StatCorrelationCoeff( ST_SackYardsCaused,ST_Plays)</f>
        <v>0.21292869969523953</v>
      </c>
      <c r="F17" s="63">
        <f>_xll.StatCorrelationCoeff( ST_SackYardsCaused,ST_1stDowns)</f>
        <v>0.21654439019287341</v>
      </c>
      <c r="G17" s="63">
        <f>_xll.StatCorrelationCoeff( ST_SackYardsCaused,ST_Completions)</f>
        <v>1.4472182483901861E-2</v>
      </c>
      <c r="H17" s="63">
        <f>_xll.StatCorrelationCoeff( ST_SackYardsCaused,ST_PassAttempts)</f>
        <v>-2.8740081204187137E-2</v>
      </c>
      <c r="I17" s="63">
        <f>_xll.StatCorrelationCoeff( ST_SackYardsCaused,ST_PassingYards)</f>
        <v>0.14198316679827827</v>
      </c>
      <c r="J17" s="63">
        <f>_xll.StatCorrelationCoeff( ST_SackYardsCaused,ST_PassingTDs)</f>
        <v>0.29844453052921094</v>
      </c>
      <c r="K17" s="63">
        <f>_xll.StatCorrelationCoeff( ST_SackYardsCaused,ST_1stDownsPassing)</f>
        <v>0.12031797658274118</v>
      </c>
      <c r="L17" s="63">
        <f>_xll.StatCorrelationCoeff( ST_SackYardsCaused,ST_QBRating)</f>
        <v>0.24045334002593749</v>
      </c>
      <c r="M17" s="63">
        <f>_xll.StatCorrelationCoeff( ST_SackYardsCaused,ST_SacksAgainst)</f>
        <v>-0.12110265050659101</v>
      </c>
      <c r="N17" s="63">
        <f>_xll.StatCorrelationCoeff( ST_SackYardsCaused,ST_SackyardsAgainst)</f>
        <v>-8.8334192646536427E-2</v>
      </c>
      <c r="O17" s="63">
        <f>_xll.StatCorrelationCoeff( ST_SackYardsCaused,ST_RushingAttempts)</f>
        <v>0.22546596895461232</v>
      </c>
      <c r="P17" s="63">
        <f>_xll.StatCorrelationCoeff( ST_SackYardsCaused,ST_RushingYards)</f>
        <v>0.17486074502342971</v>
      </c>
      <c r="Q17" s="63">
        <f>_xll.StatCorrelationCoeff( ST_SackYardsCaused,ST_RushingTDs)</f>
        <v>0.20217503971133841</v>
      </c>
      <c r="R17" s="63">
        <f>_xll.StatCorrelationCoeff( ST_SackYardsCaused,ST_1stDownsRushing)</f>
        <v>0.16803188947139394</v>
      </c>
      <c r="S17" s="63">
        <f>_xll.StatCorrelationCoeff( ST_SackYardsCaused,ST_InterceptionsThrown)</f>
        <v>-0.12326668950231662</v>
      </c>
      <c r="T17" s="63">
        <f>_xll.StatCorrelationCoeff( ST_SackYardsCaused,ST_FumblesLost)</f>
        <v>-0.14180305836262855</v>
      </c>
      <c r="U17" s="63">
        <f>_xll.StatCorrelationCoeff( ST_SackYardsCaused,ST_PuntReturns)</f>
        <v>0.29165558815150672</v>
      </c>
      <c r="V17" s="63">
        <f>_xll.StatCorrelationCoeff( ST_SackYardsCaused,ST_YardsPuntReturns)</f>
        <v>0.16224124168331253</v>
      </c>
      <c r="W17" s="63">
        <f>_xll.StatCorrelationCoeff( ST_SackYardsCaused,ST_KickReturns)</f>
        <v>-0.36908655878442437</v>
      </c>
      <c r="X17" s="63">
        <f>_xll.StatCorrelationCoeff( ST_SackYardsCaused,ST_YardsKickReturns)</f>
        <v>-0.31485969987930312</v>
      </c>
      <c r="Y17" s="63">
        <f>_xll.StatCorrelationCoeff( ST_SackYardsCaused,ST_FGA039)</f>
        <v>9.8759727613737261E-2</v>
      </c>
      <c r="Z17" s="63">
        <f>_xll.StatCorrelationCoeff( ST_SackYardsCaused,ST_FGM039)</f>
        <v>9.0995146349620915E-2</v>
      </c>
      <c r="AA17" s="63">
        <f>_xll.StatCorrelationCoeff( ST_SackYardsCaused,ST_FGA40)</f>
        <v>-5.8631910396002636E-2</v>
      </c>
      <c r="AB17" s="63">
        <f>_xll.StatCorrelationCoeff( ST_SackYardsCaused,ST_FGM40)</f>
        <v>6.6829943790105553E-2</v>
      </c>
      <c r="AC17" s="63">
        <f>_xll.StatCorrelationCoeff( ST_SackYardsCaused,ST_Punts)</f>
        <v>-9.8423999192467724E-3</v>
      </c>
      <c r="AD17" s="63">
        <f>_xll.StatCorrelationCoeff( ST_SackYardsCaused,ST_PuntYards)</f>
        <v>2.6546370798416978E-2</v>
      </c>
      <c r="AE17" s="63">
        <f>_xll.StatCorrelationCoeff( ST_SackYardsCaused,ST_PointsAllowed)</f>
        <v>-0.4543152758704404</v>
      </c>
      <c r="AF17" s="63">
        <f>_xll.StatCorrelationCoeff( ST_SackYardsCaused,ST_YardsAllowed)</f>
        <v>-0.47038649839357921</v>
      </c>
      <c r="AG17" s="63">
        <f>_xll.StatCorrelationCoeff( ST_SackYardsCaused,ST_PlaysbyOpponent)</f>
        <v>-0.14766399514232223</v>
      </c>
      <c r="AH17" s="63">
        <f>_xll.StatCorrelationCoeff( ST_SackYardsCaused,ST_1stDownsAllowed)</f>
        <v>-0.38777814909640262</v>
      </c>
      <c r="AI17" s="63">
        <f>_xll.StatCorrelationCoeff( ST_SackYardsCaused,ST_CompletionsAllowed)</f>
        <v>-2.7041729355482214E-2</v>
      </c>
      <c r="AJ17" s="63">
        <f>_xll.StatCorrelationCoeff( ST_SackYardsCaused,ST_PassingAttemptsbyOpponents)</f>
        <v>0.18627125546494067</v>
      </c>
      <c r="AK17" s="63">
        <f>_xll.StatCorrelationCoeff( ST_SackYardsCaused,ST_PassingYardsAllowed)</f>
        <v>-0.22729393018070382</v>
      </c>
      <c r="AL17" s="63">
        <f>_xll.StatCorrelationCoeff( ST_SackYardsCaused,ST_PassingTDsAllowed)</f>
        <v>-0.20712809981504648</v>
      </c>
      <c r="AM17" s="63">
        <f>_xll.StatCorrelationCoeff( ST_SackYardsCaused,ST_1stDownsPassingAllowed)</f>
        <v>-0.13468100188825105</v>
      </c>
      <c r="AN17" s="63">
        <f>_xll.StatCorrelationCoeff( ST_SackYardsCaused,ST_SacksCaused)</f>
        <v>0.92854839341063378</v>
      </c>
      <c r="AO17" s="63">
        <v>1</v>
      </c>
      <c r="AP17" s="63"/>
      <c r="AQ17" s="63"/>
      <c r="AR17" s="63"/>
      <c r="AS17" s="63"/>
      <c r="AT17" s="63"/>
      <c r="AU17" s="63"/>
    </row>
    <row r="18" spans="1:47" ht="15" customHeight="1" x14ac:dyDescent="0.25">
      <c r="A18" s="60" t="s">
        <v>49</v>
      </c>
      <c r="B18" s="63">
        <f>_xll.StatCorrelationCoeff( ST_RushingAttempts,ST_Wins)</f>
        <v>0.48666007410027395</v>
      </c>
      <c r="C18" s="63">
        <f>_xll.StatCorrelationCoeff( ST_RushingAttempts,ST_PointsScored)</f>
        <v>0.27526175625326949</v>
      </c>
      <c r="D18" s="63">
        <f>_xll.StatCorrelationCoeff( ST_RushingAttempts,ST_Yards)</f>
        <v>0.17426825669638921</v>
      </c>
      <c r="E18" s="63">
        <f>_xll.StatCorrelationCoeff( ST_RushingAttempts,ST_Plays)</f>
        <v>0.325275478993232</v>
      </c>
      <c r="F18" s="63">
        <f>_xll.StatCorrelationCoeff( ST_RushingAttempts,ST_1stDowns)</f>
        <v>0.21876956945875656</v>
      </c>
      <c r="G18" s="63">
        <f>_xll.StatCorrelationCoeff( ST_RushingAttempts,ST_Completions)</f>
        <v>-0.5178306168848692</v>
      </c>
      <c r="H18" s="63">
        <f>_xll.StatCorrelationCoeff( ST_RushingAttempts,ST_PassAttempts)</f>
        <v>-0.64701514828198814</v>
      </c>
      <c r="I18" s="63">
        <f>_xll.StatCorrelationCoeff( ST_RushingAttempts,ST_PassingYards)</f>
        <v>-0.30042452610208947</v>
      </c>
      <c r="J18" s="63">
        <f>_xll.StatCorrelationCoeff( ST_RushingAttempts,ST_PassingTDs)</f>
        <v>-0.10375794814635081</v>
      </c>
      <c r="K18" s="63">
        <f>_xll.StatCorrelationCoeff( ST_RushingAttempts,ST_1stDownsPassing)</f>
        <v>-0.26914186833498266</v>
      </c>
      <c r="L18" s="63">
        <f>_xll.StatCorrelationCoeff( ST_RushingAttempts,ST_QBRating)</f>
        <v>9.9349231040148922E-2</v>
      </c>
      <c r="M18" s="63">
        <f>_xll.StatCorrelationCoeff( ST_RushingAttempts,ST_SacksAgainst)</f>
        <v>-0.26627358776332127</v>
      </c>
      <c r="N18" s="63">
        <f>_xll.StatCorrelationCoeff( ST_RushingAttempts,ST_SackyardsAgainst)</f>
        <v>-0.24933925841309132</v>
      </c>
      <c r="O18" s="63">
        <v>1</v>
      </c>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row>
    <row r="19" spans="1:47" ht="15" customHeight="1" x14ac:dyDescent="0.25">
      <c r="A19" s="60" t="s">
        <v>88</v>
      </c>
      <c r="B19" s="63">
        <f>_xll.StatCorrelationCoeff( ST_SacksCaused,ST_Wins)</f>
        <v>0.48122961746975385</v>
      </c>
      <c r="C19" s="63">
        <f>_xll.StatCorrelationCoeff( ST_SacksCaused,ST_PointsScored)</f>
        <v>0.36155868451254153</v>
      </c>
      <c r="D19" s="63">
        <f>_xll.StatCorrelationCoeff( ST_SacksCaused,ST_Yards)</f>
        <v>0.21501411142772259</v>
      </c>
      <c r="E19" s="63">
        <f>_xll.StatCorrelationCoeff( ST_SacksCaused,ST_Plays)</f>
        <v>0.17991467202658129</v>
      </c>
      <c r="F19" s="63">
        <f>_xll.StatCorrelationCoeff( ST_SacksCaused,ST_1stDowns)</f>
        <v>0.20254119890232417</v>
      </c>
      <c r="G19" s="63">
        <f>_xll.StatCorrelationCoeff( ST_SacksCaused,ST_Completions)</f>
        <v>1.3929551359118698E-2</v>
      </c>
      <c r="H19" s="63">
        <f>_xll.StatCorrelationCoeff( ST_SacksCaused,ST_PassAttempts)</f>
        <v>-4.559830152912233E-2</v>
      </c>
      <c r="I19" s="63">
        <f>_xll.StatCorrelationCoeff( ST_SacksCaused,ST_PassingYards)</f>
        <v>0.12225229588047824</v>
      </c>
      <c r="J19" s="63">
        <f>_xll.StatCorrelationCoeff( ST_SacksCaused,ST_PassingTDs)</f>
        <v>0.26661056659641447</v>
      </c>
      <c r="K19" s="63">
        <f>_xll.StatCorrelationCoeff( ST_SacksCaused,ST_1stDownsPassing)</f>
        <v>0.11511938806249006</v>
      </c>
      <c r="L19" s="63">
        <f>_xll.StatCorrelationCoeff( ST_SacksCaused,ST_QBRating)</f>
        <v>0.244857808088358</v>
      </c>
      <c r="M19" s="63">
        <f>_xll.StatCorrelationCoeff( ST_SacksCaused,ST_SacksAgainst)</f>
        <v>-9.2179629193143806E-2</v>
      </c>
      <c r="N19" s="63">
        <f>_xll.StatCorrelationCoeff( ST_SacksCaused,ST_SackyardsAgainst)</f>
        <v>-5.774346055075933E-2</v>
      </c>
      <c r="O19" s="63">
        <f>_xll.StatCorrelationCoeff( ST_SacksCaused,ST_RushingAttempts)</f>
        <v>0.21085922126486234</v>
      </c>
      <c r="P19" s="63">
        <f>_xll.StatCorrelationCoeff( ST_SacksCaused,ST_RushingYards)</f>
        <v>0.16848833725769435</v>
      </c>
      <c r="Q19" s="63">
        <f>_xll.StatCorrelationCoeff( ST_SacksCaused,ST_RushingTDs)</f>
        <v>0.23762464930158003</v>
      </c>
      <c r="R19" s="63">
        <f>_xll.StatCorrelationCoeff( ST_SacksCaused,ST_1stDownsRushing)</f>
        <v>0.15727942123414707</v>
      </c>
      <c r="S19" s="63">
        <f>_xll.StatCorrelationCoeff( ST_SacksCaused,ST_InterceptionsThrown)</f>
        <v>-0.14194002740745978</v>
      </c>
      <c r="T19" s="63">
        <f>_xll.StatCorrelationCoeff( ST_SacksCaused,ST_FumblesLost)</f>
        <v>-0.15139400498721792</v>
      </c>
      <c r="U19" s="63">
        <f>_xll.StatCorrelationCoeff( ST_SacksCaused,ST_PuntReturns)</f>
        <v>0.30663376737413561</v>
      </c>
      <c r="V19" s="63">
        <f>_xll.StatCorrelationCoeff( ST_SacksCaused,ST_YardsPuntReturns)</f>
        <v>0.17768608829938184</v>
      </c>
      <c r="W19" s="63">
        <f>_xll.StatCorrelationCoeff( ST_SacksCaused,ST_KickReturns)</f>
        <v>-0.38360180382306447</v>
      </c>
      <c r="X19" s="63">
        <f>_xll.StatCorrelationCoeff( ST_SacksCaused,ST_YardsKickReturns)</f>
        <v>-0.3244303371220395</v>
      </c>
      <c r="Y19" s="63">
        <f>_xll.StatCorrelationCoeff( ST_SacksCaused,ST_FGA039)</f>
        <v>5.5163812179127247E-2</v>
      </c>
      <c r="Z19" s="63">
        <f>_xll.StatCorrelationCoeff( ST_SacksCaused,ST_FGM039)</f>
        <v>4.7319427901730216E-2</v>
      </c>
      <c r="AA19" s="63">
        <f>_xll.StatCorrelationCoeff( ST_SacksCaused,ST_FGA40)</f>
        <v>-3.9857489689803904E-2</v>
      </c>
      <c r="AB19" s="63">
        <f>_xll.StatCorrelationCoeff( ST_SacksCaused,ST_FGM40)</f>
        <v>7.1935549839341292E-2</v>
      </c>
      <c r="AC19" s="63">
        <f>_xll.StatCorrelationCoeff( ST_SacksCaused,ST_Punts)</f>
        <v>9.1632415627371996E-3</v>
      </c>
      <c r="AD19" s="63">
        <f>_xll.StatCorrelationCoeff( ST_SacksCaused,ST_PuntYards)</f>
        <v>3.8217291652084186E-2</v>
      </c>
      <c r="AE19" s="63">
        <f>_xll.StatCorrelationCoeff( ST_SacksCaused,ST_PointsAllowed)</f>
        <v>-0.45894491797576698</v>
      </c>
      <c r="AF19" s="63">
        <f>_xll.StatCorrelationCoeff( ST_SacksCaused,ST_YardsAllowed)</f>
        <v>-0.4543879765808147</v>
      </c>
      <c r="AG19" s="63">
        <f>_xll.StatCorrelationCoeff( ST_SacksCaused,ST_PlaysbyOpponent)</f>
        <v>-0.12945067014711986</v>
      </c>
      <c r="AH19" s="63">
        <f>_xll.StatCorrelationCoeff( ST_SacksCaused,ST_1stDownsAllowed)</f>
        <v>-0.3814596267718614</v>
      </c>
      <c r="AI19" s="63">
        <f>_xll.StatCorrelationCoeff( ST_SacksCaused,ST_CompletionsAllowed)</f>
        <v>-5.3214902558455832E-2</v>
      </c>
      <c r="AJ19" s="63">
        <f>_xll.StatCorrelationCoeff( ST_SacksCaused,ST_PassingAttemptsbyOpponents)</f>
        <v>0.17580209093474394</v>
      </c>
      <c r="AK19" s="63">
        <f>_xll.StatCorrelationCoeff( ST_SacksCaused,ST_PassingYardsAllowed)</f>
        <v>-0.21507199376987085</v>
      </c>
      <c r="AL19" s="63">
        <f>_xll.StatCorrelationCoeff( ST_SacksCaused,ST_PassingTDsAllowed)</f>
        <v>-0.23220249665469317</v>
      </c>
      <c r="AM19" s="63">
        <f>_xll.StatCorrelationCoeff( ST_SacksCaused,ST_1stDownsPassingAllowed)</f>
        <v>-0.14816071654428462</v>
      </c>
      <c r="AN19" s="63">
        <v>1</v>
      </c>
      <c r="AO19" s="63"/>
      <c r="AP19" s="63"/>
      <c r="AQ19" s="63"/>
      <c r="AR19" s="63"/>
      <c r="AS19" s="63"/>
      <c r="AT19" s="63"/>
      <c r="AU19" s="63"/>
    </row>
    <row r="20" spans="1:47" ht="15" customHeight="1" x14ac:dyDescent="0.25">
      <c r="A20" s="60" t="s">
        <v>73</v>
      </c>
      <c r="B20" s="63">
        <f>_xll.StatCorrelationCoeff( ST_PassingAttemptsbyOpponents,ST_Wins)</f>
        <v>0.43650657768058843</v>
      </c>
      <c r="C20" s="63">
        <f>_xll.StatCorrelationCoeff( ST_PassingAttemptsbyOpponents,ST_PointsScored)</f>
        <v>0.41689279703402121</v>
      </c>
      <c r="D20" s="63">
        <f>_xll.StatCorrelationCoeff( ST_PassingAttemptsbyOpponents,ST_Yards)</f>
        <v>0.2679054930438754</v>
      </c>
      <c r="E20" s="63">
        <f>_xll.StatCorrelationCoeff( ST_PassingAttemptsbyOpponents,ST_Plays)</f>
        <v>1.500371294452159E-2</v>
      </c>
      <c r="F20" s="63">
        <f>_xll.StatCorrelationCoeff( ST_PassingAttemptsbyOpponents,ST_1stDowns)</f>
        <v>0.16821555978614708</v>
      </c>
      <c r="G20" s="63">
        <f>_xll.StatCorrelationCoeff( ST_PassingAttemptsbyOpponents,ST_Completions)</f>
        <v>1.8861001926588069E-2</v>
      </c>
      <c r="H20" s="63">
        <f>_xll.StatCorrelationCoeff( ST_PassingAttemptsbyOpponents,ST_PassAttempts)</f>
        <v>-6.8951115002368862E-2</v>
      </c>
      <c r="I20" s="63">
        <f>_xll.StatCorrelationCoeff( ST_PassingAttemptsbyOpponents,ST_PassingYards)</f>
        <v>0.14002963707092955</v>
      </c>
      <c r="J20" s="63">
        <f>_xll.StatCorrelationCoeff( ST_PassingAttemptsbyOpponents,ST_PassingTDs)</f>
        <v>0.2637295032549935</v>
      </c>
      <c r="K20" s="63">
        <f>_xll.StatCorrelationCoeff( ST_PassingAttemptsbyOpponents,ST_1stDownsPassing)</f>
        <v>9.5716834841515441E-2</v>
      </c>
      <c r="L20" s="63">
        <f>_xll.StatCorrelationCoeff( ST_PassingAttemptsbyOpponents,ST_QBRating)</f>
        <v>0.26183049393330315</v>
      </c>
      <c r="M20" s="63">
        <f>_xll.StatCorrelationCoeff( ST_PassingAttemptsbyOpponents,ST_SacksAgainst)</f>
        <v>-0.30536974334562816</v>
      </c>
      <c r="N20" s="63">
        <f>_xll.StatCorrelationCoeff( ST_PassingAttemptsbyOpponents,ST_SackyardsAgainst)</f>
        <v>-0.29460328609890263</v>
      </c>
      <c r="O20" s="63">
        <f>_xll.StatCorrelationCoeff( ST_PassingAttemptsbyOpponents,ST_RushingAttempts)</f>
        <v>0.1509165385311817</v>
      </c>
      <c r="P20" s="63">
        <f>_xll.StatCorrelationCoeff( ST_PassingAttemptsbyOpponents,ST_RushingYards)</f>
        <v>0.23204434067518021</v>
      </c>
      <c r="Q20" s="63">
        <f>_xll.StatCorrelationCoeff( ST_PassingAttemptsbyOpponents,ST_RushingTDs)</f>
        <v>0.3159677039052653</v>
      </c>
      <c r="R20" s="63">
        <f>_xll.StatCorrelationCoeff( ST_PassingAttemptsbyOpponents,ST_1stDownsRushing)</f>
        <v>0.17445620785407334</v>
      </c>
      <c r="S20" s="63">
        <f>_xll.StatCorrelationCoeff( ST_PassingAttemptsbyOpponents,ST_InterceptionsThrown)</f>
        <v>-0.17385898883319481</v>
      </c>
      <c r="T20" s="63">
        <f>_xll.StatCorrelationCoeff( ST_PassingAttemptsbyOpponents,ST_FumblesLost)</f>
        <v>-0.15340021964012091</v>
      </c>
      <c r="U20" s="63">
        <f>_xll.StatCorrelationCoeff( ST_PassingAttemptsbyOpponents,ST_PuntReturns)</f>
        <v>-2.4506660718234256E-2</v>
      </c>
      <c r="V20" s="63">
        <f>_xll.StatCorrelationCoeff( ST_PassingAttemptsbyOpponents,ST_YardsPuntReturns)</f>
        <v>2.4828681481363694E-2</v>
      </c>
      <c r="W20" s="63">
        <f>_xll.StatCorrelationCoeff( ST_PassingAttemptsbyOpponents,ST_KickReturns)</f>
        <v>-0.20657644141478304</v>
      </c>
      <c r="X20" s="63">
        <f>_xll.StatCorrelationCoeff( ST_PassingAttemptsbyOpponents,ST_YardsKickReturns)</f>
        <v>-0.12676169650268163</v>
      </c>
      <c r="Y20" s="63">
        <f>_xll.StatCorrelationCoeff( ST_PassingAttemptsbyOpponents,ST_FGA039)</f>
        <v>2.4515721394311671E-2</v>
      </c>
      <c r="Z20" s="63">
        <f>_xll.StatCorrelationCoeff( ST_PassingAttemptsbyOpponents,ST_FGM039)</f>
        <v>5.485026087395084E-2</v>
      </c>
      <c r="AA20" s="63">
        <f>_xll.StatCorrelationCoeff( ST_PassingAttemptsbyOpponents,ST_FGA40)</f>
        <v>-3.6428411266779925E-2</v>
      </c>
      <c r="AB20" s="63">
        <f>_xll.StatCorrelationCoeff( ST_PassingAttemptsbyOpponents,ST_FGM40)</f>
        <v>-7.954294743146656E-3</v>
      </c>
      <c r="AC20" s="63">
        <f>_xll.StatCorrelationCoeff( ST_PassingAttemptsbyOpponents,ST_Punts)</f>
        <v>-3.2683098496872141E-2</v>
      </c>
      <c r="AD20" s="63">
        <f>_xll.StatCorrelationCoeff( ST_PassingAttemptsbyOpponents,ST_PuntYards)</f>
        <v>-0.13830294357235065</v>
      </c>
      <c r="AE20" s="63">
        <f>_xll.StatCorrelationCoeff( ST_PassingAttemptsbyOpponents,ST_PointsAllowed)</f>
        <v>-0.21207515533655921</v>
      </c>
      <c r="AF20" s="63">
        <f>_xll.StatCorrelationCoeff( ST_PassingAttemptsbyOpponents,ST_YardsAllowed)</f>
        <v>9.7226285240412255E-2</v>
      </c>
      <c r="AG20" s="63">
        <f>_xll.StatCorrelationCoeff( ST_PassingAttemptsbyOpponents,ST_PlaysbyOpponent)</f>
        <v>0.42406695845438358</v>
      </c>
      <c r="AH20" s="63">
        <f>_xll.StatCorrelationCoeff( ST_PassingAttemptsbyOpponents,ST_1stDownsAllowed)</f>
        <v>0.12077487898697391</v>
      </c>
      <c r="AI20" s="63">
        <f>_xll.StatCorrelationCoeff( ST_PassingAttemptsbyOpponents,ST_CompletionsAllowed)</f>
        <v>0.83691265530424463</v>
      </c>
      <c r="AJ20" s="63">
        <v>1</v>
      </c>
      <c r="AK20" s="63"/>
      <c r="AL20" s="63"/>
      <c r="AM20" s="63"/>
      <c r="AN20" s="63"/>
      <c r="AO20" s="63"/>
      <c r="AP20" s="63"/>
      <c r="AQ20" s="63"/>
      <c r="AR20" s="63"/>
      <c r="AS20" s="63"/>
      <c r="AT20" s="63"/>
      <c r="AU20" s="63"/>
    </row>
    <row r="21" spans="1:47" ht="15" customHeight="1" x14ac:dyDescent="0.25">
      <c r="A21" s="60" t="s">
        <v>51</v>
      </c>
      <c r="B21" s="63">
        <f>_xll.StatCorrelationCoeff( ST_RushingYards,ST_Wins)</f>
        <v>0.42261552011350312</v>
      </c>
      <c r="C21" s="63">
        <f>_xll.StatCorrelationCoeff( ST_RushingYards,ST_PointsScored)</f>
        <v>0.30381769396895403</v>
      </c>
      <c r="D21" s="63">
        <f>_xll.StatCorrelationCoeff( ST_RushingYards,ST_Yards)</f>
        <v>0.28467875474000826</v>
      </c>
      <c r="E21" s="63">
        <f>_xll.StatCorrelationCoeff( ST_RushingYards,ST_Plays)</f>
        <v>0.20409820540818385</v>
      </c>
      <c r="F21" s="63">
        <f>_xll.StatCorrelationCoeff( ST_RushingYards,ST_1stDowns)</f>
        <v>0.23235215193362607</v>
      </c>
      <c r="G21" s="63">
        <f>_xll.StatCorrelationCoeff( ST_RushingYards,ST_Completions)</f>
        <v>-0.49998678745286868</v>
      </c>
      <c r="H21" s="63">
        <f>_xll.StatCorrelationCoeff( ST_RushingYards,ST_PassAttempts)</f>
        <v>-0.6055071583357976</v>
      </c>
      <c r="I21" s="63">
        <f>_xll.StatCorrelationCoeff( ST_RushingYards,ST_PassingYards)</f>
        <v>-0.2701992530158544</v>
      </c>
      <c r="J21" s="63">
        <f>_xll.StatCorrelationCoeff( ST_RushingYards,ST_PassingTDs)</f>
        <v>-6.6783656356659171E-2</v>
      </c>
      <c r="K21" s="63">
        <f>_xll.StatCorrelationCoeff( ST_RushingYards,ST_1stDownsPassing)</f>
        <v>-0.27025489080732173</v>
      </c>
      <c r="L21" s="63">
        <f>_xll.StatCorrelationCoeff( ST_RushingYards,ST_QBRating)</f>
        <v>0.10376756589399792</v>
      </c>
      <c r="M21" s="63">
        <f>_xll.StatCorrelationCoeff( ST_RushingYards,ST_SacksAgainst)</f>
        <v>-0.24294567753963334</v>
      </c>
      <c r="N21" s="63">
        <f>_xll.StatCorrelationCoeff( ST_RushingYards,ST_SackyardsAgainst)</f>
        <v>-0.26314406888012803</v>
      </c>
      <c r="O21" s="63">
        <f>_xll.StatCorrelationCoeff( ST_RushingYards,ST_RushingAttempts)</f>
        <v>0.85494701940776596</v>
      </c>
      <c r="P21" s="63">
        <v>1</v>
      </c>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row>
    <row r="22" spans="1:47" ht="15" customHeight="1" x14ac:dyDescent="0.25">
      <c r="A22" s="60" t="s">
        <v>76</v>
      </c>
      <c r="B22" s="63">
        <f>_xll.StatCorrelationCoeff( ST_PassesIntercepted,ST_Wins)</f>
        <v>0.40763513048154792</v>
      </c>
      <c r="C22" s="63">
        <f>_xll.StatCorrelationCoeff( ST_PassesIntercepted,ST_PointsScored)</f>
        <v>0.27037348740982126</v>
      </c>
      <c r="D22" s="63">
        <f>_xll.StatCorrelationCoeff( ST_PassesIntercepted,ST_Yards)</f>
        <v>4.3356578111377837E-2</v>
      </c>
      <c r="E22" s="63">
        <f>_xll.StatCorrelationCoeff( ST_PassesIntercepted,ST_Plays)</f>
        <v>3.0719997519053799E-2</v>
      </c>
      <c r="F22" s="63">
        <f>_xll.StatCorrelationCoeff( ST_PassesIntercepted,ST_1stDowns)</f>
        <v>4.2553763713734462E-2</v>
      </c>
      <c r="G22" s="63">
        <f>_xll.StatCorrelationCoeff( ST_PassesIntercepted,ST_Completions)</f>
        <v>-0.11922760034278762</v>
      </c>
      <c r="H22" s="63">
        <f>_xll.StatCorrelationCoeff( ST_PassesIntercepted,ST_PassAttempts)</f>
        <v>-0.19321916626251651</v>
      </c>
      <c r="I22" s="63">
        <f>_xll.StatCorrelationCoeff( ST_PassesIntercepted,ST_PassingYards)</f>
        <v>-4.8219364108467416E-2</v>
      </c>
      <c r="J22" s="63">
        <f>_xll.StatCorrelationCoeff( ST_PassesIntercepted,ST_PassingTDs)</f>
        <v>8.7277005291392137E-2</v>
      </c>
      <c r="K22" s="63">
        <f>_xll.StatCorrelationCoeff( ST_PassesIntercepted,ST_1stDownsPassing)</f>
        <v>-4.7196906234550966E-2</v>
      </c>
      <c r="L22" s="63">
        <f>_xll.StatCorrelationCoeff( ST_PassesIntercepted,ST_QBRating)</f>
        <v>0.12135691977704459</v>
      </c>
      <c r="M22" s="63">
        <f>_xll.StatCorrelationCoeff( ST_PassesIntercepted,ST_SacksAgainst)</f>
        <v>-0.18208328905144588</v>
      </c>
      <c r="N22" s="63">
        <f>_xll.StatCorrelationCoeff( ST_PassesIntercepted,ST_SackyardsAgainst)</f>
        <v>-0.18334950585532686</v>
      </c>
      <c r="O22" s="63">
        <f>_xll.StatCorrelationCoeff( ST_PassesIntercepted,ST_RushingAttempts)</f>
        <v>0.26815524271441449</v>
      </c>
      <c r="P22" s="63">
        <f>_xll.StatCorrelationCoeff( ST_PassesIntercepted,ST_RushingYards)</f>
        <v>0.16500953162339133</v>
      </c>
      <c r="Q22" s="63">
        <f>_xll.StatCorrelationCoeff( ST_PassesIntercepted,ST_RushingTDs)</f>
        <v>0.21024313589983309</v>
      </c>
      <c r="R22" s="63">
        <f>_xll.StatCorrelationCoeff( ST_PassesIntercepted,ST_1stDownsRushing)</f>
        <v>0.12763712850724276</v>
      </c>
      <c r="S22" s="63">
        <f>_xll.StatCorrelationCoeff( ST_PassesIntercepted,ST_InterceptionsThrown)</f>
        <v>-0.18125084303402217</v>
      </c>
      <c r="T22" s="63">
        <f>_xll.StatCorrelationCoeff( ST_PassesIntercepted,ST_FumblesLost)</f>
        <v>-0.17871596858732502</v>
      </c>
      <c r="U22" s="63">
        <f>_xll.StatCorrelationCoeff( ST_PassesIntercepted,ST_PuntReturns)</f>
        <v>9.093743907785877E-2</v>
      </c>
      <c r="V22" s="63">
        <f>_xll.StatCorrelationCoeff( ST_PassesIntercepted,ST_YardsPuntReturns)</f>
        <v>8.8028587282749274E-2</v>
      </c>
      <c r="W22" s="63">
        <f>_xll.StatCorrelationCoeff( ST_PassesIntercepted,ST_KickReturns)</f>
        <v>-0.44409530002406777</v>
      </c>
      <c r="X22" s="63">
        <f>_xll.StatCorrelationCoeff( ST_PassesIntercepted,ST_YardsKickReturns)</f>
        <v>-0.37359549954085564</v>
      </c>
      <c r="Y22" s="63">
        <f>_xll.StatCorrelationCoeff( ST_PassesIntercepted,ST_FGA039)</f>
        <v>0.27231785527856728</v>
      </c>
      <c r="Z22" s="63">
        <f>_xll.StatCorrelationCoeff( ST_PassesIntercepted,ST_FGM039)</f>
        <v>0.25553674765805651</v>
      </c>
      <c r="AA22" s="63">
        <f>_xll.StatCorrelationCoeff( ST_PassesIntercepted,ST_FGA40)</f>
        <v>-0.10608548774137527</v>
      </c>
      <c r="AB22" s="63">
        <f>_xll.StatCorrelationCoeff( ST_PassesIntercepted,ST_FGM40)</f>
        <v>-0.13381852890269252</v>
      </c>
      <c r="AC22" s="63">
        <f>_xll.StatCorrelationCoeff( ST_PassesIntercepted,ST_Punts)</f>
        <v>-6.4880470226897262E-3</v>
      </c>
      <c r="AD22" s="63">
        <f>_xll.StatCorrelationCoeff( ST_PassesIntercepted,ST_PuntYards)</f>
        <v>-2.984116728696292E-2</v>
      </c>
      <c r="AE22" s="63">
        <f>_xll.StatCorrelationCoeff( ST_PassesIntercepted,ST_PointsAllowed)</f>
        <v>-0.44828487656898885</v>
      </c>
      <c r="AF22" s="63">
        <f>_xll.StatCorrelationCoeff( ST_PassesIntercepted,ST_YardsAllowed)</f>
        <v>-0.29614222581869554</v>
      </c>
      <c r="AG22" s="63">
        <f>_xll.StatCorrelationCoeff( ST_PassesIntercepted,ST_PlaysbyOpponent)</f>
        <v>1.4517878567873925E-2</v>
      </c>
      <c r="AH22" s="63">
        <f>_xll.StatCorrelationCoeff( ST_PassesIntercepted,ST_1stDownsAllowed)</f>
        <v>-0.24448466227199472</v>
      </c>
      <c r="AI22" s="63">
        <f>_xll.StatCorrelationCoeff( ST_PassesIntercepted,ST_CompletionsAllowed)</f>
        <v>5.0884079353145505E-2</v>
      </c>
      <c r="AJ22" s="63">
        <f>_xll.StatCorrelationCoeff( ST_PassesIntercepted,ST_PassingAttemptsbyOpponents)</f>
        <v>0.25508514304626256</v>
      </c>
      <c r="AK22" s="63">
        <f>_xll.StatCorrelationCoeff( ST_PassesIntercepted,ST_PassingYardsAllowed)</f>
        <v>-0.1480729767178981</v>
      </c>
      <c r="AL22" s="63">
        <f>_xll.StatCorrelationCoeff( ST_PassesIntercepted,ST_PassingTDsAllowed)</f>
        <v>-0.27433343596016924</v>
      </c>
      <c r="AM22" s="63">
        <f>_xll.StatCorrelationCoeff( ST_PassesIntercepted,ST_1stDownsPassingAllowed)</f>
        <v>-0.11736263777507937</v>
      </c>
      <c r="AN22" s="63">
        <f>_xll.StatCorrelationCoeff( ST_PassesIntercepted,ST_SacksCaused)</f>
        <v>0.11976279651428307</v>
      </c>
      <c r="AO22" s="63">
        <f>_xll.StatCorrelationCoeff( ST_PassesIntercepted,ST_SackYardsCaused)</f>
        <v>0.13564525376592507</v>
      </c>
      <c r="AP22" s="63">
        <f>_xll.StatCorrelationCoeff( ST_PassesIntercepted,ST_RushingAttempsbyOpponents)</f>
        <v>-0.23785947077367384</v>
      </c>
      <c r="AQ22" s="63">
        <f>_xll.StatCorrelationCoeff( ST_PassesIntercepted,ST_RushingYardsAllowed)</f>
        <v>-0.27064802042257313</v>
      </c>
      <c r="AR22" s="63">
        <f>_xll.StatCorrelationCoeff( ST_PassesIntercepted,ST_RushingTDsAllowed)</f>
        <v>-0.25328949000807816</v>
      </c>
      <c r="AS22" s="63">
        <f>_xll.StatCorrelationCoeff( ST_PassesIntercepted,ST_1stDownsRushingAllowed)</f>
        <v>-0.24208773772305642</v>
      </c>
      <c r="AT22" s="63">
        <v>1</v>
      </c>
      <c r="AU22" s="63"/>
    </row>
    <row r="23" spans="1:47" ht="15" customHeight="1" x14ac:dyDescent="0.25">
      <c r="A23" s="60" t="s">
        <v>47</v>
      </c>
      <c r="B23" s="63">
        <f>_xll.StatCorrelationCoeff( ST_PassingYards,ST_Wins)</f>
        <v>0.3796736280702403</v>
      </c>
      <c r="C23" s="63">
        <f>_xll.StatCorrelationCoeff( ST_PassingYards,ST_PointsScored)</f>
        <v>0.67169189137028562</v>
      </c>
      <c r="D23" s="63">
        <f>_xll.StatCorrelationCoeff( ST_PassingYards,ST_Yards)</f>
        <v>0.84604645598267325</v>
      </c>
      <c r="E23" s="63">
        <f>_xll.StatCorrelationCoeff( ST_PassingYards,ST_Plays)</f>
        <v>0.46739814807373004</v>
      </c>
      <c r="F23" s="63">
        <f>_xll.StatCorrelationCoeff( ST_PassingYards,ST_1stDowns)</f>
        <v>0.78653464457971811</v>
      </c>
      <c r="G23" s="63">
        <f>_xll.StatCorrelationCoeff( ST_PassingYards,ST_Completions)</f>
        <v>0.8682342982719623</v>
      </c>
      <c r="H23" s="63">
        <f>_xll.StatCorrelationCoeff( ST_PassingYards,ST_PassAttempts)</f>
        <v>0.71896269372601584</v>
      </c>
      <c r="I23" s="63">
        <v>1</v>
      </c>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row>
    <row r="24" spans="1:47" ht="15" customHeight="1" x14ac:dyDescent="0.25">
      <c r="A24" s="60" t="s">
        <v>46</v>
      </c>
      <c r="B24" s="63">
        <f>_xll.StatCorrelationCoeff( ST_1stDownsPassing,ST_Wins)</f>
        <v>0.35092866341789197</v>
      </c>
      <c r="C24" s="63">
        <f>_xll.StatCorrelationCoeff( ST_1stDownsPassing,ST_PointsScored)</f>
        <v>0.62646370409315622</v>
      </c>
      <c r="D24" s="63">
        <f>_xll.StatCorrelationCoeff( ST_1stDownsPassing,ST_Yards)</f>
        <v>0.78710767416340532</v>
      </c>
      <c r="E24" s="63">
        <f>_xll.StatCorrelationCoeff( ST_1stDownsPassing,ST_Plays)</f>
        <v>0.53185482132295392</v>
      </c>
      <c r="F24" s="63">
        <f>_xll.StatCorrelationCoeff( ST_1stDownsPassing,ST_1stDowns)</f>
        <v>0.828489339551855</v>
      </c>
      <c r="G24" s="63">
        <f>_xll.StatCorrelationCoeff( ST_1stDownsPassing,ST_Completions)</f>
        <v>0.88796404644225435</v>
      </c>
      <c r="H24" s="63">
        <f>_xll.StatCorrelationCoeff( ST_1stDownsPassing,ST_PassAttempts)</f>
        <v>0.72532245658594963</v>
      </c>
      <c r="I24" s="63">
        <f>_xll.StatCorrelationCoeff( ST_1stDownsPassing,ST_PassingYards)</f>
        <v>0.94083507224551732</v>
      </c>
      <c r="J24" s="63">
        <f>_xll.StatCorrelationCoeff( ST_1stDownsPassing,ST_PassingTDs)</f>
        <v>0.74968331951761757</v>
      </c>
      <c r="K24" s="63">
        <v>1</v>
      </c>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row>
    <row r="25" spans="1:47" ht="15" customHeight="1" x14ac:dyDescent="0.25">
      <c r="A25" s="60" t="s">
        <v>42</v>
      </c>
      <c r="B25" s="63">
        <f>_xll.StatCorrelationCoeff( ST_Plays,ST_Wins)</f>
        <v>0.28011704915840513</v>
      </c>
      <c r="C25" s="63">
        <f>_xll.StatCorrelationCoeff( ST_Plays,ST_PointsScored)</f>
        <v>0.3831003181693054</v>
      </c>
      <c r="D25" s="63">
        <f>_xll.StatCorrelationCoeff( ST_Plays,ST_Yards)</f>
        <v>0.5783783432679146</v>
      </c>
      <c r="E25" s="63">
        <v>1</v>
      </c>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row>
    <row r="26" spans="1:47" ht="15" customHeight="1" x14ac:dyDescent="0.25">
      <c r="A26" s="60" t="s">
        <v>38</v>
      </c>
      <c r="B26" s="63">
        <f>_xll.StatCorrelationCoeff( ST_FGM039,ST_Wins)</f>
        <v>0.27107784440893767</v>
      </c>
      <c r="C26" s="63">
        <f>_xll.StatCorrelationCoeff( ST_FGM039,ST_PointsScored)</f>
        <v>0.26185198840378993</v>
      </c>
      <c r="D26" s="63">
        <f>_xll.StatCorrelationCoeff( ST_FGM039,ST_Yards)</f>
        <v>0.16620632783266795</v>
      </c>
      <c r="E26" s="63">
        <f>_xll.StatCorrelationCoeff( ST_FGM039,ST_Plays)</f>
        <v>0.17675601101153574</v>
      </c>
      <c r="F26" s="63">
        <f>_xll.StatCorrelationCoeff( ST_FGM039,ST_1stDowns)</f>
        <v>0.14830055083889884</v>
      </c>
      <c r="G26" s="63">
        <f>_xll.StatCorrelationCoeff( ST_FGM039,ST_Completions)</f>
        <v>1.9852599300473069E-2</v>
      </c>
      <c r="H26" s="63">
        <f>_xll.StatCorrelationCoeff( ST_FGM039,ST_PassAttempts)</f>
        <v>-3.638538272210131E-2</v>
      </c>
      <c r="I26" s="63">
        <f>_xll.StatCorrelationCoeff( ST_FGM039,ST_PassingYards)</f>
        <v>0.1001741921319462</v>
      </c>
      <c r="J26" s="63">
        <f>_xll.StatCorrelationCoeff( ST_FGM039,ST_PassingTDs)</f>
        <v>0.10161973623919457</v>
      </c>
      <c r="K26" s="63">
        <f>_xll.StatCorrelationCoeff( ST_FGM039,ST_1stDownsPassing)</f>
        <v>9.3188784501505237E-2</v>
      </c>
      <c r="L26" s="63">
        <f>_xll.StatCorrelationCoeff( ST_FGM039,ST_QBRating)</f>
        <v>0.1700123931829661</v>
      </c>
      <c r="M26" s="63">
        <f>_xll.StatCorrelationCoeff( ST_FGM039,ST_SacksAgainst)</f>
        <v>-0.12758490472084352</v>
      </c>
      <c r="N26" s="63">
        <f>_xll.StatCorrelationCoeff( ST_FGM039,ST_SackyardsAgainst)</f>
        <v>-0.1399276195808844</v>
      </c>
      <c r="O26" s="63">
        <f>_xll.StatCorrelationCoeff( ST_FGM039,ST_RushingAttempts)</f>
        <v>0.20627015241825442</v>
      </c>
      <c r="P26" s="63">
        <f>_xll.StatCorrelationCoeff( ST_FGM039,ST_RushingYards)</f>
        <v>0.12004090145981021</v>
      </c>
      <c r="Q26" s="63">
        <f>_xll.StatCorrelationCoeff( ST_FGM039,ST_RushingTDs)</f>
        <v>2.1408865916069941E-2</v>
      </c>
      <c r="R26" s="63">
        <f>_xll.StatCorrelationCoeff( ST_FGM039,ST_1stDownsRushing)</f>
        <v>0.13047845318156359</v>
      </c>
      <c r="S26" s="63">
        <f>_xll.StatCorrelationCoeff( ST_FGM039,ST_InterceptionsThrown)</f>
        <v>-0.18665407413034774</v>
      </c>
      <c r="T26" s="63">
        <f>_xll.StatCorrelationCoeff( ST_FGM039,ST_FumblesLost)</f>
        <v>-2.7423616226860764E-2</v>
      </c>
      <c r="U26" s="63">
        <f>_xll.StatCorrelationCoeff( ST_FGM039,ST_PuntReturns)</f>
        <v>8.9766813768715689E-2</v>
      </c>
      <c r="V26" s="63">
        <f>_xll.StatCorrelationCoeff( ST_FGM039,ST_YardsPuntReturns)</f>
        <v>0.18720585210827076</v>
      </c>
      <c r="W26" s="63">
        <f>_xll.StatCorrelationCoeff( ST_FGM039,ST_KickReturns)</f>
        <v>-0.19881252256657245</v>
      </c>
      <c r="X26" s="63">
        <f>_xll.StatCorrelationCoeff( ST_FGM039,ST_YardsKickReturns)</f>
        <v>-9.0688448072110045E-2</v>
      </c>
      <c r="Y26" s="63">
        <f>_xll.StatCorrelationCoeff( ST_FGM039,ST_FGA039)</f>
        <v>0.95186398288268814</v>
      </c>
      <c r="Z26" s="63">
        <v>1</v>
      </c>
      <c r="AA26" s="63"/>
      <c r="AB26" s="63"/>
      <c r="AC26" s="63"/>
      <c r="AD26" s="63"/>
      <c r="AE26" s="63"/>
      <c r="AF26" s="63"/>
      <c r="AG26" s="63"/>
      <c r="AH26" s="63"/>
      <c r="AI26" s="63"/>
      <c r="AJ26" s="63"/>
      <c r="AK26" s="63"/>
      <c r="AL26" s="63"/>
      <c r="AM26" s="63"/>
      <c r="AN26" s="63"/>
      <c r="AO26" s="63"/>
      <c r="AP26" s="63"/>
      <c r="AQ26" s="63"/>
      <c r="AR26" s="63"/>
      <c r="AS26" s="63"/>
      <c r="AT26" s="63"/>
      <c r="AU26" s="63"/>
    </row>
    <row r="27" spans="1:47" ht="15" customHeight="1" x14ac:dyDescent="0.25">
      <c r="A27" s="60" t="s">
        <v>37</v>
      </c>
      <c r="B27" s="63">
        <f>_xll.StatCorrelationCoeff( ST_FGA039,ST_Wins)</f>
        <v>0.26239276084019014</v>
      </c>
      <c r="C27" s="63">
        <f>_xll.StatCorrelationCoeff( ST_FGA039,ST_PointsScored)</f>
        <v>0.25104037968840909</v>
      </c>
      <c r="D27" s="63">
        <f>_xll.StatCorrelationCoeff( ST_FGA039,ST_Yards)</f>
        <v>0.16988587790842538</v>
      </c>
      <c r="E27" s="63">
        <f>_xll.StatCorrelationCoeff( ST_FGA039,ST_Plays)</f>
        <v>0.20302344669507336</v>
      </c>
      <c r="F27" s="63">
        <f>_xll.StatCorrelationCoeff( ST_FGA039,ST_1stDowns)</f>
        <v>0.16689368365175988</v>
      </c>
      <c r="G27" s="63">
        <f>_xll.StatCorrelationCoeff( ST_FGA039,ST_Completions)</f>
        <v>2.8784273593088664E-2</v>
      </c>
      <c r="H27" s="63">
        <f>_xll.StatCorrelationCoeff( ST_FGA039,ST_PassAttempts)</f>
        <v>-2.111080508019348E-2</v>
      </c>
      <c r="I27" s="63">
        <f>_xll.StatCorrelationCoeff( ST_FGA039,ST_PassingYards)</f>
        <v>0.10198250508178586</v>
      </c>
      <c r="J27" s="63">
        <f>_xll.StatCorrelationCoeff( ST_FGA039,ST_PassingTDs)</f>
        <v>0.11297296160044419</v>
      </c>
      <c r="K27" s="63">
        <f>_xll.StatCorrelationCoeff( ST_FGA039,ST_1stDownsPassing)</f>
        <v>0.1057761258563661</v>
      </c>
      <c r="L27" s="63">
        <f>_xll.StatCorrelationCoeff( ST_FGA039,ST_QBRating)</f>
        <v>0.15727306880011677</v>
      </c>
      <c r="M27" s="63">
        <f>_xll.StatCorrelationCoeff( ST_FGA039,ST_SacksAgainst)</f>
        <v>-9.6289302664897283E-2</v>
      </c>
      <c r="N27" s="63">
        <f>_xll.StatCorrelationCoeff( ST_FGA039,ST_SackyardsAgainst)</f>
        <v>-0.11176407488855353</v>
      </c>
      <c r="O27" s="63">
        <f>_xll.StatCorrelationCoeff( ST_FGA039,ST_RushingAttempts)</f>
        <v>0.20417095757977743</v>
      </c>
      <c r="P27" s="63">
        <f>_xll.StatCorrelationCoeff( ST_FGA039,ST_RushingYards)</f>
        <v>0.12343457172696551</v>
      </c>
      <c r="Q27" s="63">
        <f>_xll.StatCorrelationCoeff( ST_FGA039,ST_RushingTDs)</f>
        <v>1.4062361110025907E-2</v>
      </c>
      <c r="R27" s="63">
        <f>_xll.StatCorrelationCoeff( ST_FGA039,ST_1stDownsRushing)</f>
        <v>0.13152107255682893</v>
      </c>
      <c r="S27" s="63">
        <f>_xll.StatCorrelationCoeff( ST_FGA039,ST_InterceptionsThrown)</f>
        <v>-0.14956242319697952</v>
      </c>
      <c r="T27" s="63">
        <f>_xll.StatCorrelationCoeff( ST_FGA039,ST_FumblesLost)</f>
        <v>-4.3528285813433799E-2</v>
      </c>
      <c r="U27" s="63">
        <f>_xll.StatCorrelationCoeff( ST_FGA039,ST_PuntReturns)</f>
        <v>9.2370439305805949E-2</v>
      </c>
      <c r="V27" s="63">
        <f>_xll.StatCorrelationCoeff( ST_FGA039,ST_YardsPuntReturns)</f>
        <v>0.18298187965630877</v>
      </c>
      <c r="W27" s="63">
        <f>_xll.StatCorrelationCoeff( ST_FGA039,ST_KickReturns)</f>
        <v>-0.19176114229690683</v>
      </c>
      <c r="X27" s="63">
        <f>_xll.StatCorrelationCoeff( ST_FGA039,ST_YardsKickReturns)</f>
        <v>-7.7231805985430418E-2</v>
      </c>
      <c r="Y27" s="63">
        <v>1</v>
      </c>
      <c r="Z27" s="63"/>
      <c r="AA27" s="63"/>
      <c r="AB27" s="63"/>
      <c r="AC27" s="63"/>
      <c r="AD27" s="63"/>
      <c r="AE27" s="63"/>
      <c r="AF27" s="63"/>
      <c r="AG27" s="63"/>
      <c r="AH27" s="63"/>
      <c r="AI27" s="63"/>
      <c r="AJ27" s="63"/>
      <c r="AK27" s="63"/>
      <c r="AL27" s="63"/>
      <c r="AM27" s="63"/>
      <c r="AN27" s="63"/>
      <c r="AO27" s="63"/>
      <c r="AP27" s="63"/>
      <c r="AQ27" s="63"/>
      <c r="AR27" s="63"/>
      <c r="AS27" s="63"/>
      <c r="AT27" s="63"/>
      <c r="AU27" s="63"/>
    </row>
    <row r="28" spans="1:47" ht="15" customHeight="1" x14ac:dyDescent="0.25">
      <c r="A28" s="60" t="s">
        <v>72</v>
      </c>
      <c r="B28" s="63">
        <f>_xll.StatCorrelationCoeff( ST_CompletionsAllowed,ST_Wins)</f>
        <v>0.18630047739313149</v>
      </c>
      <c r="C28" s="63">
        <f>_xll.StatCorrelationCoeff( ST_CompletionsAllowed,ST_PointsScored)</f>
        <v>0.26626210717482773</v>
      </c>
      <c r="D28" s="63">
        <f>_xll.StatCorrelationCoeff( ST_CompletionsAllowed,ST_Yards)</f>
        <v>0.1716937932841906</v>
      </c>
      <c r="E28" s="63">
        <f>_xll.StatCorrelationCoeff( ST_CompletionsAllowed,ST_Plays)</f>
        <v>-0.17535705261141363</v>
      </c>
      <c r="F28" s="63">
        <f>_xll.StatCorrelationCoeff( ST_CompletionsAllowed,ST_1stDowns)</f>
        <v>9.9592384103963885E-2</v>
      </c>
      <c r="G28" s="63">
        <f>_xll.StatCorrelationCoeff( ST_CompletionsAllowed,ST_Completions)</f>
        <v>9.6277116840636376E-2</v>
      </c>
      <c r="H28" s="63">
        <f>_xll.StatCorrelationCoeff( ST_CompletionsAllowed,ST_PassAttempts)</f>
        <v>1.9248352763239503E-2</v>
      </c>
      <c r="I28" s="63">
        <f>_xll.StatCorrelationCoeff( ST_CompletionsAllowed,ST_PassingYards)</f>
        <v>0.1512093578288114</v>
      </c>
      <c r="J28" s="63">
        <f>_xll.StatCorrelationCoeff( ST_CompletionsAllowed,ST_PassingTDs)</f>
        <v>0.22243654906849927</v>
      </c>
      <c r="K28" s="63">
        <f>_xll.StatCorrelationCoeff( ST_CompletionsAllowed,ST_1stDownsPassing)</f>
        <v>0.13199505358759431</v>
      </c>
      <c r="L28" s="63">
        <f>_xll.StatCorrelationCoeff( ST_CompletionsAllowed,ST_QBRating)</f>
        <v>0.19503300412272226</v>
      </c>
      <c r="M28" s="63">
        <f>_xll.StatCorrelationCoeff( ST_CompletionsAllowed,ST_SacksAgainst)</f>
        <v>-0.21380109859247456</v>
      </c>
      <c r="N28" s="63">
        <f>_xll.StatCorrelationCoeff( ST_CompletionsAllowed,ST_SackyardsAgainst)</f>
        <v>-0.23748435807701426</v>
      </c>
      <c r="O28" s="63">
        <f>_xll.StatCorrelationCoeff( ST_CompletionsAllowed,ST_RushingAttempts)</f>
        <v>-0.11315902081141924</v>
      </c>
      <c r="P28" s="63">
        <f>_xll.StatCorrelationCoeff( ST_CompletionsAllowed,ST_RushingYards)</f>
        <v>3.8181259561071233E-2</v>
      </c>
      <c r="Q28" s="63">
        <f>_xll.StatCorrelationCoeff( ST_CompletionsAllowed,ST_RushingTDs)</f>
        <v>0.15665537166290569</v>
      </c>
      <c r="R28" s="63">
        <f>_xll.StatCorrelationCoeff( ST_CompletionsAllowed,ST_1stDownsRushing)</f>
        <v>-1.7196385472767542E-3</v>
      </c>
      <c r="S28" s="63">
        <f>_xll.StatCorrelationCoeff( ST_CompletionsAllowed,ST_InterceptionsThrown)</f>
        <v>-5.3379796758451482E-2</v>
      </c>
      <c r="T28" s="63">
        <f>_xll.StatCorrelationCoeff( ST_CompletionsAllowed,ST_FumblesLost)</f>
        <v>-9.5711288455454263E-2</v>
      </c>
      <c r="U28" s="63">
        <f>_xll.StatCorrelationCoeff( ST_CompletionsAllowed,ST_PuntReturns)</f>
        <v>-0.30332688315918271</v>
      </c>
      <c r="V28" s="63">
        <f>_xll.StatCorrelationCoeff( ST_CompletionsAllowed,ST_YardsPuntReturns)</f>
        <v>-0.17120956833740425</v>
      </c>
      <c r="W28" s="63">
        <f>_xll.StatCorrelationCoeff( ST_CompletionsAllowed,ST_KickReturns)</f>
        <v>4.9299392799356336E-2</v>
      </c>
      <c r="X28" s="63">
        <f>_xll.StatCorrelationCoeff( ST_CompletionsAllowed,ST_YardsKickReturns)</f>
        <v>9.4268319914814075E-2</v>
      </c>
      <c r="Y28" s="63">
        <f>_xll.StatCorrelationCoeff( ST_CompletionsAllowed,ST_FGA039)</f>
        <v>-8.0739608418341755E-2</v>
      </c>
      <c r="Z28" s="63">
        <f>_xll.StatCorrelationCoeff( ST_CompletionsAllowed,ST_FGM039)</f>
        <v>-5.2687768339359217E-2</v>
      </c>
      <c r="AA28" s="63">
        <f>_xll.StatCorrelationCoeff( ST_CompletionsAllowed,ST_FGA40)</f>
        <v>-2.7977285358967482E-2</v>
      </c>
      <c r="AB28" s="63">
        <f>_xll.StatCorrelationCoeff( ST_CompletionsAllowed,ST_FGM40)</f>
        <v>2.4902791253728337E-2</v>
      </c>
      <c r="AC28" s="63">
        <f>_xll.StatCorrelationCoeff( ST_CompletionsAllowed,ST_Punts)</f>
        <v>-0.13494553887298816</v>
      </c>
      <c r="AD28" s="63">
        <f>_xll.StatCorrelationCoeff( ST_CompletionsAllowed,ST_PuntYards)</f>
        <v>-0.18350459130465718</v>
      </c>
      <c r="AE28" s="63">
        <f>_xll.StatCorrelationCoeff( ST_CompletionsAllowed,ST_PointsAllowed)</f>
        <v>0.12751333751833138</v>
      </c>
      <c r="AF28" s="63">
        <f>_xll.StatCorrelationCoeff( ST_CompletionsAllowed,ST_YardsAllowed)</f>
        <v>0.40482451252351848</v>
      </c>
      <c r="AG28" s="63">
        <f>_xll.StatCorrelationCoeff( ST_CompletionsAllowed,ST_PlaysbyOpponent)</f>
        <v>0.48955084240397051</v>
      </c>
      <c r="AH28" s="63">
        <f>_xll.StatCorrelationCoeff( ST_CompletionsAllowed,ST_1stDownsAllowed)</f>
        <v>0.44074993224208742</v>
      </c>
      <c r="AI28" s="63">
        <v>1</v>
      </c>
      <c r="AJ28" s="63"/>
      <c r="AK28" s="63"/>
      <c r="AL28" s="63"/>
      <c r="AM28" s="63"/>
      <c r="AN28" s="63"/>
      <c r="AO28" s="63"/>
      <c r="AP28" s="63"/>
      <c r="AQ28" s="63"/>
      <c r="AR28" s="63"/>
      <c r="AS28" s="63"/>
      <c r="AT28" s="63"/>
      <c r="AU28" s="63"/>
    </row>
    <row r="29" spans="1:47" ht="15" customHeight="1" x14ac:dyDescent="0.25">
      <c r="A29" s="60" t="s">
        <v>82</v>
      </c>
      <c r="B29" s="63">
        <f>_xll.StatCorrelationCoeff( ST_FumblesRecovered,ST_Wins)</f>
        <v>0.14187133227452098</v>
      </c>
      <c r="C29" s="63">
        <f>_xll.StatCorrelationCoeff( ST_FumblesRecovered,ST_PointsScored)</f>
        <v>0.15500104769959702</v>
      </c>
      <c r="D29" s="63">
        <f>_xll.StatCorrelationCoeff( ST_FumblesRecovered,ST_Yards)</f>
        <v>1.448256956374965E-2</v>
      </c>
      <c r="E29" s="63">
        <f>_xll.StatCorrelationCoeff( ST_FumblesRecovered,ST_Plays)</f>
        <v>-1.2722424238474589E-2</v>
      </c>
      <c r="F29" s="63">
        <f>_xll.StatCorrelationCoeff( ST_FumblesRecovered,ST_1stDowns)</f>
        <v>-8.4533750087565172E-3</v>
      </c>
      <c r="G29" s="63">
        <f>_xll.StatCorrelationCoeff( ST_FumblesRecovered,ST_Completions)</f>
        <v>-2.7026155899960644E-2</v>
      </c>
      <c r="H29" s="63">
        <f>_xll.StatCorrelationCoeff( ST_FumblesRecovered,ST_PassAttempts)</f>
        <v>-6.1936184377417154E-4</v>
      </c>
      <c r="I29" s="63">
        <f>_xll.StatCorrelationCoeff( ST_FumblesRecovered,ST_PassingYards)</f>
        <v>2.6883659509463323E-2</v>
      </c>
      <c r="J29" s="63">
        <f>_xll.StatCorrelationCoeff( ST_FumblesRecovered,ST_PassingTDs)</f>
        <v>0.10994290501441659</v>
      </c>
      <c r="K29" s="63">
        <f>_xll.StatCorrelationCoeff( ST_FumblesRecovered,ST_1stDownsPassing)</f>
        <v>-1.5804336106564571E-3</v>
      </c>
      <c r="L29" s="63">
        <f>_xll.StatCorrelationCoeff( ST_FumblesRecovered,ST_QBRating)</f>
        <v>3.1798340415254985E-2</v>
      </c>
      <c r="M29" s="63">
        <f>_xll.StatCorrelationCoeff( ST_FumblesRecovered,ST_SacksAgainst)</f>
        <v>-2.6936729642184121E-2</v>
      </c>
      <c r="N29" s="63">
        <f>_xll.StatCorrelationCoeff( ST_FumblesRecovered,ST_SackyardsAgainst)</f>
        <v>3.3684241111748814E-3</v>
      </c>
      <c r="O29" s="63">
        <f>_xll.StatCorrelationCoeff( ST_FumblesRecovered,ST_RushingAttempts)</f>
        <v>-3.6051117508397426E-3</v>
      </c>
      <c r="P29" s="63">
        <f>_xll.StatCorrelationCoeff( ST_FumblesRecovered,ST_RushingYards)</f>
        <v>-2.2185721178050521E-2</v>
      </c>
      <c r="Q29" s="63">
        <f>_xll.StatCorrelationCoeff( ST_FumblesRecovered,ST_RushingTDs)</f>
        <v>4.337464547425085E-2</v>
      </c>
      <c r="R29" s="63">
        <f>_xll.StatCorrelationCoeff( ST_FumblesRecovered,ST_1stDownsRushing)</f>
        <v>-6.1447226920112154E-2</v>
      </c>
      <c r="S29" s="63">
        <f>_xll.StatCorrelationCoeff( ST_FumblesRecovered,ST_InterceptionsThrown)</f>
        <v>5.634098260933261E-2</v>
      </c>
      <c r="T29" s="63">
        <f>_xll.StatCorrelationCoeff( ST_FumblesRecovered,ST_FumblesLost)</f>
        <v>-0.17723669510486909</v>
      </c>
      <c r="U29" s="63">
        <f>_xll.StatCorrelationCoeff( ST_FumblesRecovered,ST_PuntReturns)</f>
        <v>1.1299998249582261E-2</v>
      </c>
      <c r="V29" s="63">
        <f>_xll.StatCorrelationCoeff( ST_FumblesRecovered,ST_YardsPuntReturns)</f>
        <v>7.0225710709915665E-2</v>
      </c>
      <c r="W29" s="63">
        <f>_xll.StatCorrelationCoeff( ST_FumblesRecovered,ST_KickReturns)</f>
        <v>-8.2709085632183349E-2</v>
      </c>
      <c r="X29" s="63">
        <f>_xll.StatCorrelationCoeff( ST_FumblesRecovered,ST_YardsKickReturns)</f>
        <v>-9.9529050311376835E-2</v>
      </c>
      <c r="Y29" s="63">
        <f>_xll.StatCorrelationCoeff( ST_FumblesRecovered,ST_FGA039)</f>
        <v>7.0534676267132973E-2</v>
      </c>
      <c r="Z29" s="63">
        <f>_xll.StatCorrelationCoeff( ST_FumblesRecovered,ST_FGM039)</f>
        <v>6.5623003824433271E-2</v>
      </c>
      <c r="AA29" s="63">
        <f>_xll.StatCorrelationCoeff( ST_FumblesRecovered,ST_FGA40)</f>
        <v>4.529985118770663E-2</v>
      </c>
      <c r="AB29" s="63">
        <f>_xll.StatCorrelationCoeff( ST_FumblesRecovered,ST_FGM40)</f>
        <v>0.10003090290437817</v>
      </c>
      <c r="AC29" s="63">
        <f>_xll.StatCorrelationCoeff( ST_FumblesRecovered,ST_Punts)</f>
        <v>2.5068856807459614E-2</v>
      </c>
      <c r="AD29" s="63">
        <f>_xll.StatCorrelationCoeff( ST_FumblesRecovered,ST_PuntYards)</f>
        <v>8.9240855296209537E-2</v>
      </c>
      <c r="AE29" s="63">
        <f>_xll.StatCorrelationCoeff( ST_FumblesRecovered,ST_PointsAllowed)</f>
        <v>-5.3359518430428389E-2</v>
      </c>
      <c r="AF29" s="63">
        <f>_xll.StatCorrelationCoeff( ST_FumblesRecovered,ST_YardsAllowed)</f>
        <v>2.4235019086221041E-2</v>
      </c>
      <c r="AG29" s="63">
        <f>_xll.StatCorrelationCoeff( ST_FumblesRecovered,ST_PlaysbyOpponent)</f>
        <v>0.1814109508336387</v>
      </c>
      <c r="AH29" s="63">
        <f>_xll.StatCorrelationCoeff( ST_FumblesRecovered,ST_1stDownsAllowed)</f>
        <v>9.5671800385032493E-2</v>
      </c>
      <c r="AI29" s="63">
        <f>_xll.StatCorrelationCoeff( ST_FumblesRecovered,ST_CompletionsAllowed)</f>
        <v>0.23471898165937896</v>
      </c>
      <c r="AJ29" s="63">
        <f>_xll.StatCorrelationCoeff( ST_FumblesRecovered,ST_PassingAttemptsbyOpponents)</f>
        <v>0.21236226418847937</v>
      </c>
      <c r="AK29" s="63">
        <f>_xll.StatCorrelationCoeff( ST_FumblesRecovered,ST_PassingYardsAllowed)</f>
        <v>8.1524000999447427E-2</v>
      </c>
      <c r="AL29" s="63">
        <f>_xll.StatCorrelationCoeff( ST_FumblesRecovered,ST_PassingTDsAllowed)</f>
        <v>-4.3330958414630222E-2</v>
      </c>
      <c r="AM29" s="63">
        <f>_xll.StatCorrelationCoeff( ST_FumblesRecovered,ST_1stDownsPassingAllowed)</f>
        <v>0.15132217255828978</v>
      </c>
      <c r="AN29" s="63">
        <f>_xll.StatCorrelationCoeff( ST_FumblesRecovered,ST_SacksCaused)</f>
        <v>0.18824722783654299</v>
      </c>
      <c r="AO29" s="63">
        <f>_xll.StatCorrelationCoeff( ST_FumblesRecovered,ST_SackYardsCaused)</f>
        <v>0.20926419619260342</v>
      </c>
      <c r="AP29" s="63">
        <f>_xll.StatCorrelationCoeff( ST_FumblesRecovered,ST_RushingAttempsbyOpponents)</f>
        <v>-7.0050096234136397E-2</v>
      </c>
      <c r="AQ29" s="63">
        <f>_xll.StatCorrelationCoeff( ST_FumblesRecovered,ST_RushingYardsAllowed)</f>
        <v>-5.7374344746982192E-2</v>
      </c>
      <c r="AR29" s="63">
        <f>_xll.StatCorrelationCoeff( ST_FumblesRecovered,ST_RushingTDsAllowed)</f>
        <v>-1.4621156507631711E-2</v>
      </c>
      <c r="AS29" s="63">
        <f>_xll.StatCorrelationCoeff( ST_FumblesRecovered,ST_1stDownsRushingAllowed)</f>
        <v>-3.3200706054608245E-2</v>
      </c>
      <c r="AT29" s="63">
        <f>_xll.StatCorrelationCoeff( ST_FumblesRecovered,ST_PassesIntercepted)</f>
        <v>4.5760857973626501E-2</v>
      </c>
      <c r="AU29" s="63">
        <v>1</v>
      </c>
    </row>
    <row r="30" spans="1:47" ht="15" customHeight="1" x14ac:dyDescent="0.25">
      <c r="A30" s="60" t="s">
        <v>35</v>
      </c>
      <c r="B30" s="63">
        <f>_xll.StatCorrelationCoeff( ST_PuntReturns,ST_Wins)</f>
        <v>0.11619703992327668</v>
      </c>
      <c r="C30" s="63">
        <f>_xll.StatCorrelationCoeff( ST_PuntReturns,ST_PointsScored)</f>
        <v>-0.10266762778329611</v>
      </c>
      <c r="D30" s="63">
        <f>_xll.StatCorrelationCoeff( ST_PuntReturns,ST_Yards)</f>
        <v>-0.12444728952938414</v>
      </c>
      <c r="E30" s="63">
        <f>_xll.StatCorrelationCoeff( ST_PuntReturns,ST_Plays)</f>
        <v>0.23178424499903985</v>
      </c>
      <c r="F30" s="63">
        <f>_xll.StatCorrelationCoeff( ST_PuntReturns,ST_1stDowns)</f>
        <v>-0.18041190403834922</v>
      </c>
      <c r="G30" s="63">
        <f>_xll.StatCorrelationCoeff( ST_PuntReturns,ST_Completions)</f>
        <v>-0.14771829128099029</v>
      </c>
      <c r="H30" s="63">
        <f>_xll.StatCorrelationCoeff( ST_PuntReturns,ST_PassAttempts)</f>
        <v>-2.5224687422725364E-2</v>
      </c>
      <c r="I30" s="63">
        <f>_xll.StatCorrelationCoeff( ST_PuntReturns,ST_PassingYards)</f>
        <v>-0.16539943692505846</v>
      </c>
      <c r="J30" s="63">
        <f>_xll.StatCorrelationCoeff( ST_PuntReturns,ST_PassingTDs)</f>
        <v>-0.16014629217417131</v>
      </c>
      <c r="K30" s="63">
        <f>_xll.StatCorrelationCoeff( ST_PuntReturns,ST_1stDownsPassing)</f>
        <v>-0.20550434673193047</v>
      </c>
      <c r="L30" s="63">
        <f>_xll.StatCorrelationCoeff( ST_PuntReturns,ST_QBRating)</f>
        <v>-0.18521085506663287</v>
      </c>
      <c r="M30" s="63">
        <f>_xll.StatCorrelationCoeff( ST_PuntReturns,ST_SacksAgainst)</f>
        <v>5.8291613396306216E-2</v>
      </c>
      <c r="N30" s="63">
        <f>_xll.StatCorrelationCoeff( ST_PuntReturns,ST_SackyardsAgainst)</f>
        <v>5.9371904178660929E-2</v>
      </c>
      <c r="O30" s="63">
        <f>_xll.StatCorrelationCoeff( ST_PuntReturns,ST_RushingAttempts)</f>
        <v>0.19788047652392615</v>
      </c>
      <c r="P30" s="63">
        <f>_xll.StatCorrelationCoeff( ST_PuntReturns,ST_RushingYards)</f>
        <v>7.2662975273011729E-2</v>
      </c>
      <c r="Q30" s="63">
        <f>_xll.StatCorrelationCoeff( ST_PuntReturns,ST_RushingTDs)</f>
        <v>-6.2749315784089085E-2</v>
      </c>
      <c r="R30" s="63">
        <f>_xll.StatCorrelationCoeff( ST_PuntReturns,ST_1stDownsRushing)</f>
        <v>-4.0810799449505254E-2</v>
      </c>
      <c r="S30" s="63">
        <f>_xll.StatCorrelationCoeff( ST_PuntReturns,ST_InterceptionsThrown)</f>
        <v>-1.5845525293986359E-2</v>
      </c>
      <c r="T30" s="63">
        <f>_xll.StatCorrelationCoeff( ST_PuntReturns,ST_FumblesLost)</f>
        <v>-4.6271512247310499E-2</v>
      </c>
      <c r="U30" s="63">
        <v>1</v>
      </c>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row>
    <row r="31" spans="1:47" ht="15" customHeight="1" x14ac:dyDescent="0.25">
      <c r="A31" s="60" t="s">
        <v>44</v>
      </c>
      <c r="B31" s="63">
        <f>_xll.StatCorrelationCoeff( ST_Completions,ST_Wins)</f>
        <v>0.11129041729464334</v>
      </c>
      <c r="C31" s="63">
        <f>_xll.StatCorrelationCoeff( ST_Completions,ST_PointsScored)</f>
        <v>0.38903431575195124</v>
      </c>
      <c r="D31" s="63">
        <f>_xll.StatCorrelationCoeff( ST_Completions,ST_Yards)</f>
        <v>0.58761861192059861</v>
      </c>
      <c r="E31" s="63">
        <f>_xll.StatCorrelationCoeff( ST_Completions,ST_Plays)</f>
        <v>0.47218331969041316</v>
      </c>
      <c r="F31" s="63">
        <f>_xll.StatCorrelationCoeff( ST_Completions,ST_1stDowns)</f>
        <v>0.60293441736562303</v>
      </c>
      <c r="G31" s="63">
        <v>1</v>
      </c>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63"/>
      <c r="AR31" s="63"/>
      <c r="AS31" s="63"/>
      <c r="AT31" s="63"/>
      <c r="AU31" s="63"/>
    </row>
    <row r="32" spans="1:47" ht="15" customHeight="1" x14ac:dyDescent="0.25">
      <c r="A32" s="60" t="s">
        <v>56</v>
      </c>
      <c r="B32" s="63">
        <f>_xll.StatCorrelationCoeff( ST_YardsPuntReturns,ST_Wins)</f>
        <v>9.8318864713280149E-2</v>
      </c>
      <c r="C32" s="63">
        <f>_xll.StatCorrelationCoeff( ST_YardsPuntReturns,ST_PointsScored)</f>
        <v>-5.2764842412169013E-2</v>
      </c>
      <c r="D32" s="63">
        <f>_xll.StatCorrelationCoeff( ST_YardsPuntReturns,ST_Yards)</f>
        <v>-0.13156325148940287</v>
      </c>
      <c r="E32" s="63">
        <f>_xll.StatCorrelationCoeff( ST_YardsPuntReturns,ST_Plays)</f>
        <v>9.9278307927421136E-2</v>
      </c>
      <c r="F32" s="63">
        <f>_xll.StatCorrelationCoeff( ST_YardsPuntReturns,ST_1stDowns)</f>
        <v>-0.18140560565947314</v>
      </c>
      <c r="G32" s="63">
        <f>_xll.StatCorrelationCoeff( ST_YardsPuntReturns,ST_Completions)</f>
        <v>-0.19573600499670366</v>
      </c>
      <c r="H32" s="63">
        <f>_xll.StatCorrelationCoeff( ST_YardsPuntReturns,ST_PassAttempts)</f>
        <v>-9.7187805064859134E-2</v>
      </c>
      <c r="I32" s="63">
        <f>_xll.StatCorrelationCoeff( ST_YardsPuntReturns,ST_PassingYards)</f>
        <v>-0.17480564801298212</v>
      </c>
      <c r="J32" s="63">
        <f>_xll.StatCorrelationCoeff( ST_YardsPuntReturns,ST_PassingTDs)</f>
        <v>-0.17079473449418889</v>
      </c>
      <c r="K32" s="63">
        <f>_xll.StatCorrelationCoeff( ST_YardsPuntReturns,ST_1stDownsPassing)</f>
        <v>-0.21963177793096753</v>
      </c>
      <c r="L32" s="63">
        <f>_xll.StatCorrelationCoeff( ST_YardsPuntReturns,ST_QBRating)</f>
        <v>-0.19326081191563674</v>
      </c>
      <c r="M32" s="63">
        <f>_xll.StatCorrelationCoeff( ST_YardsPuntReturns,ST_SacksAgainst)</f>
        <v>-1.665335376658722E-3</v>
      </c>
      <c r="N32" s="63">
        <f>_xll.StatCorrelationCoeff( ST_YardsPuntReturns,ST_SackyardsAgainst)</f>
        <v>1.242827044353622E-2</v>
      </c>
      <c r="O32" s="63">
        <f>_xll.StatCorrelationCoeff( ST_YardsPuntReturns,ST_RushingAttempts)</f>
        <v>0.18189828892635632</v>
      </c>
      <c r="P32" s="63">
        <f>_xll.StatCorrelationCoeff( ST_YardsPuntReturns,ST_RushingYards)</f>
        <v>7.6725427148558373E-2</v>
      </c>
      <c r="Q32" s="63">
        <f>_xll.StatCorrelationCoeff( ST_YardsPuntReturns,ST_RushingTDs)</f>
        <v>-5.6762266218007118E-2</v>
      </c>
      <c r="R32" s="63">
        <f>_xll.StatCorrelationCoeff( ST_YardsPuntReturns,ST_1stDownsRushing)</f>
        <v>1.8873120526761811E-3</v>
      </c>
      <c r="S32" s="63">
        <f>_xll.StatCorrelationCoeff( ST_YardsPuntReturns,ST_InterceptionsThrown)</f>
        <v>1.5509668765251753E-2</v>
      </c>
      <c r="T32" s="63">
        <f>_xll.StatCorrelationCoeff( ST_YardsPuntReturns,ST_FumblesLost)</f>
        <v>2.0890111602867533E-2</v>
      </c>
      <c r="U32" s="63">
        <f>_xll.StatCorrelationCoeff( ST_YardsPuntReturns,ST_PuntReturns)</f>
        <v>0.70113906408086235</v>
      </c>
      <c r="V32" s="63">
        <v>1</v>
      </c>
      <c r="W32" s="63"/>
      <c r="X32" s="63"/>
      <c r="Y32" s="63"/>
      <c r="Z32" s="63"/>
      <c r="AA32" s="63"/>
      <c r="AB32" s="63"/>
      <c r="AC32" s="63"/>
      <c r="AD32" s="63"/>
      <c r="AE32" s="63"/>
      <c r="AF32" s="63"/>
      <c r="AG32" s="63"/>
      <c r="AH32" s="63"/>
      <c r="AI32" s="63"/>
      <c r="AJ32" s="63"/>
      <c r="AK32" s="63"/>
      <c r="AL32" s="63"/>
      <c r="AM32" s="63"/>
      <c r="AN32" s="63"/>
      <c r="AO32" s="63"/>
      <c r="AP32" s="63"/>
      <c r="AQ32" s="63"/>
      <c r="AR32" s="63"/>
      <c r="AS32" s="63"/>
      <c r="AT32" s="63"/>
      <c r="AU32" s="63"/>
    </row>
    <row r="33" spans="1:47" ht="15" customHeight="1" x14ac:dyDescent="0.25">
      <c r="A33" s="60" t="s">
        <v>77</v>
      </c>
      <c r="B33" s="63">
        <f>_xll.StatCorrelationCoeff( ST_1stDownsPassingAllowed,ST_Wins)</f>
        <v>-1.8079163387990937E-2</v>
      </c>
      <c r="C33" s="63">
        <f>_xll.StatCorrelationCoeff( ST_1stDownsPassingAllowed,ST_PointsScored)</f>
        <v>0.1802116592465727</v>
      </c>
      <c r="D33" s="63">
        <f>_xll.StatCorrelationCoeff( ST_1stDownsPassingAllowed,ST_Yards)</f>
        <v>0.17055838619821406</v>
      </c>
      <c r="E33" s="63">
        <f>_xll.StatCorrelationCoeff( ST_1stDownsPassingAllowed,ST_Plays)</f>
        <v>-0.12366853435078219</v>
      </c>
      <c r="F33" s="63">
        <f>_xll.StatCorrelationCoeff( ST_1stDownsPassingAllowed,ST_1stDowns)</f>
        <v>0.13030984193172049</v>
      </c>
      <c r="G33" s="63">
        <f>_xll.StatCorrelationCoeff( ST_1stDownsPassingAllowed,ST_Completions)</f>
        <v>0.15284534993611984</v>
      </c>
      <c r="H33" s="63">
        <f>_xll.StatCorrelationCoeff( ST_1stDownsPassingAllowed,ST_PassAttempts)</f>
        <v>0.12903617032698927</v>
      </c>
      <c r="I33" s="63">
        <f>_xll.StatCorrelationCoeff( ST_1stDownsPassingAllowed,ST_PassingYards)</f>
        <v>0.17817396064403579</v>
      </c>
      <c r="J33" s="63">
        <f>_xll.StatCorrelationCoeff( ST_1stDownsPassingAllowed,ST_PassingTDs)</f>
        <v>0.19703946553280235</v>
      </c>
      <c r="K33" s="63">
        <f>_xll.StatCorrelationCoeff( ST_1stDownsPassingAllowed,ST_1stDownsPassing)</f>
        <v>0.17791866503143658</v>
      </c>
      <c r="L33" s="63">
        <f>_xll.StatCorrelationCoeff( ST_1stDownsPassingAllowed,ST_QBRating)</f>
        <v>0.13239579113959765</v>
      </c>
      <c r="M33" s="63">
        <f>_xll.StatCorrelationCoeff( ST_1stDownsPassingAllowed,ST_SacksAgainst)</f>
        <v>-0.12686228962646198</v>
      </c>
      <c r="N33" s="63">
        <f>_xll.StatCorrelationCoeff( ST_1stDownsPassingAllowed,ST_SackyardsAgainst)</f>
        <v>-0.16294121809543108</v>
      </c>
      <c r="O33" s="63">
        <f>_xll.StatCorrelationCoeff( ST_1stDownsPassingAllowed,ST_RushingAttempts)</f>
        <v>-0.20711778358602154</v>
      </c>
      <c r="P33" s="63">
        <f>_xll.StatCorrelationCoeff( ST_1stDownsPassingAllowed,ST_RushingYards)</f>
        <v>-1.235634866618638E-2</v>
      </c>
      <c r="Q33" s="63">
        <f>_xll.StatCorrelationCoeff( ST_1stDownsPassingAllowed,ST_RushingTDs)</f>
        <v>0.10659808988939798</v>
      </c>
      <c r="R33" s="63">
        <f>_xll.StatCorrelationCoeff( ST_1stDownsPassingAllowed,ST_1stDownsRushing)</f>
        <v>-2.9130775874285107E-2</v>
      </c>
      <c r="S33" s="63">
        <f>_xll.StatCorrelationCoeff( ST_1stDownsPassingAllowed,ST_InterceptionsThrown)</f>
        <v>2.649285312290791E-2</v>
      </c>
      <c r="T33" s="63">
        <f>_xll.StatCorrelationCoeff( ST_1stDownsPassingAllowed,ST_FumblesLost)</f>
        <v>-0.16466097562931814</v>
      </c>
      <c r="U33" s="63">
        <f>_xll.StatCorrelationCoeff( ST_1stDownsPassingAllowed,ST_PuntReturns)</f>
        <v>-0.3968060505030887</v>
      </c>
      <c r="V33" s="63">
        <f>_xll.StatCorrelationCoeff( ST_1stDownsPassingAllowed,ST_YardsPuntReturns)</f>
        <v>-0.23755312363797879</v>
      </c>
      <c r="W33" s="63">
        <f>_xll.StatCorrelationCoeff( ST_1stDownsPassingAllowed,ST_KickReturns)</f>
        <v>0.2897438098666546</v>
      </c>
      <c r="X33" s="63">
        <f>_xll.StatCorrelationCoeff( ST_1stDownsPassingAllowed,ST_YardsKickReturns)</f>
        <v>0.31749335821072816</v>
      </c>
      <c r="Y33" s="63">
        <f>_xll.StatCorrelationCoeff( ST_1stDownsPassingAllowed,ST_FGA039)</f>
        <v>-0.10905186474712086</v>
      </c>
      <c r="Z33" s="63">
        <f>_xll.StatCorrelationCoeff( ST_1stDownsPassingAllowed,ST_FGM039)</f>
        <v>-8.1090239707867343E-2</v>
      </c>
      <c r="AA33" s="63">
        <f>_xll.StatCorrelationCoeff( ST_1stDownsPassingAllowed,ST_FGA40)</f>
        <v>-9.5614556442933651E-2</v>
      </c>
      <c r="AB33" s="63">
        <f>_xll.StatCorrelationCoeff( ST_1stDownsPassingAllowed,ST_FGM40)</f>
        <v>-6.7469289994377082E-2</v>
      </c>
      <c r="AC33" s="63">
        <f>_xll.StatCorrelationCoeff( ST_1stDownsPassingAllowed,ST_Punts)</f>
        <v>-0.17890463222384176</v>
      </c>
      <c r="AD33" s="63">
        <f>_xll.StatCorrelationCoeff( ST_1stDownsPassingAllowed,ST_PuntYards)</f>
        <v>-0.17725660872318094</v>
      </c>
      <c r="AE33" s="63">
        <f>_xll.StatCorrelationCoeff( ST_1stDownsPassingAllowed,ST_PointsAllowed)</f>
        <v>0.38716925200089669</v>
      </c>
      <c r="AF33" s="63">
        <f>_xll.StatCorrelationCoeff( ST_1stDownsPassingAllowed,ST_YardsAllowed)</f>
        <v>0.6519034303336817</v>
      </c>
      <c r="AG33" s="63">
        <f>_xll.StatCorrelationCoeff( ST_1stDownsPassingAllowed,ST_PlaysbyOpponent)</f>
        <v>0.47616623283784887</v>
      </c>
      <c r="AH33" s="63">
        <f>_xll.StatCorrelationCoeff( ST_1stDownsPassingAllowed,ST_1stDownsAllowed)</f>
        <v>0.66983706219678563</v>
      </c>
      <c r="AI33" s="63">
        <f>_xll.StatCorrelationCoeff( ST_1stDownsPassingAllowed,ST_CompletionsAllowed)</f>
        <v>0.80202961533466788</v>
      </c>
      <c r="AJ33" s="63">
        <f>_xll.StatCorrelationCoeff( ST_1stDownsPassingAllowed,ST_PassingAttemptsbyOpponents)</f>
        <v>0.6156093680283734</v>
      </c>
      <c r="AK33" s="63">
        <f>_xll.StatCorrelationCoeff( ST_1stDownsPassingAllowed,ST_PassingYardsAllowed)</f>
        <v>0.87382459646461419</v>
      </c>
      <c r="AL33" s="63">
        <f>_xll.StatCorrelationCoeff( ST_1stDownsPassingAllowed,ST_PassingTDsAllowed)</f>
        <v>0.50731727967803875</v>
      </c>
      <c r="AM33" s="63">
        <v>1</v>
      </c>
      <c r="AN33" s="63"/>
      <c r="AO33" s="63"/>
      <c r="AP33" s="63"/>
      <c r="AQ33" s="63"/>
      <c r="AR33" s="63"/>
      <c r="AS33" s="63"/>
      <c r="AT33" s="63"/>
      <c r="AU33" s="63"/>
    </row>
    <row r="34" spans="1:47" ht="15" customHeight="1" x14ac:dyDescent="0.25">
      <c r="A34" s="60" t="s">
        <v>40</v>
      </c>
      <c r="B34" s="63">
        <f>_xll.StatCorrelationCoeff( ST_FGM40,ST_Wins)</f>
        <v>-5.5204176908212395E-2</v>
      </c>
      <c r="C34" s="63">
        <f>_xll.StatCorrelationCoeff( ST_FGM40,ST_PointsScored)</f>
        <v>-9.2788451574837366E-2</v>
      </c>
      <c r="D34" s="63">
        <f>_xll.StatCorrelationCoeff( ST_FGM40,ST_Yards)</f>
        <v>-5.557087259763048E-2</v>
      </c>
      <c r="E34" s="63">
        <f>_xll.StatCorrelationCoeff( ST_FGM40,ST_Plays)</f>
        <v>-1.5672531927212126E-2</v>
      </c>
      <c r="F34" s="63">
        <f>_xll.StatCorrelationCoeff( ST_FGM40,ST_1stDowns)</f>
        <v>-0.1227313167700451</v>
      </c>
      <c r="G34" s="63">
        <f>_xll.StatCorrelationCoeff( ST_FGM40,ST_Completions)</f>
        <v>-2.8098785650459979E-2</v>
      </c>
      <c r="H34" s="63">
        <f>_xll.StatCorrelationCoeff( ST_FGM40,ST_PassAttempts)</f>
        <v>1.8713265812527642E-2</v>
      </c>
      <c r="I34" s="63">
        <f>_xll.StatCorrelationCoeff( ST_FGM40,ST_PassingYards)</f>
        <v>-4.685126988813014E-2</v>
      </c>
      <c r="J34" s="63">
        <f>_xll.StatCorrelationCoeff( ST_FGM40,ST_PassingTDs)</f>
        <v>-0.22415994043816645</v>
      </c>
      <c r="K34" s="63">
        <f>_xll.StatCorrelationCoeff( ST_FGM40,ST_1stDownsPassing)</f>
        <v>-8.3232603115180909E-2</v>
      </c>
      <c r="L34" s="63">
        <f>_xll.StatCorrelationCoeff( ST_FGM40,ST_QBRating)</f>
        <v>-0.16171051766175956</v>
      </c>
      <c r="M34" s="63">
        <f>_xll.StatCorrelationCoeff( ST_FGM40,ST_SacksAgainst)</f>
        <v>1.6907018761953028E-2</v>
      </c>
      <c r="N34" s="63">
        <f>_xll.StatCorrelationCoeff( ST_FGM40,ST_SackyardsAgainst)</f>
        <v>6.6749740565905089E-2</v>
      </c>
      <c r="O34" s="63">
        <f>_xll.StatCorrelationCoeff( ST_FGM40,ST_RushingAttempts)</f>
        <v>-3.5882644886282809E-2</v>
      </c>
      <c r="P34" s="63">
        <f>_xll.StatCorrelationCoeff( ST_FGM40,ST_RushingYards)</f>
        <v>-1.6115232699461812E-2</v>
      </c>
      <c r="Q34" s="63">
        <f>_xll.StatCorrelationCoeff( ST_FGM40,ST_RushingTDs)</f>
        <v>-2.7229464950441769E-2</v>
      </c>
      <c r="R34" s="63">
        <f>_xll.StatCorrelationCoeff( ST_FGM40,ST_1stDownsRushing)</f>
        <v>-7.0520814710184412E-2</v>
      </c>
      <c r="S34" s="63">
        <f>_xll.StatCorrelationCoeff( ST_FGM40,ST_InterceptionsThrown)</f>
        <v>0.10470970344292178</v>
      </c>
      <c r="T34" s="63">
        <f>_xll.StatCorrelationCoeff( ST_FGM40,ST_FumblesLost)</f>
        <v>0.17337746863830666</v>
      </c>
      <c r="U34" s="63">
        <f>_xll.StatCorrelationCoeff( ST_FGM40,ST_PuntReturns)</f>
        <v>5.8895290858349145E-2</v>
      </c>
      <c r="V34" s="63">
        <f>_xll.StatCorrelationCoeff( ST_FGM40,ST_YardsPuntReturns)</f>
        <v>5.2370682002409713E-2</v>
      </c>
      <c r="W34" s="63">
        <f>_xll.StatCorrelationCoeff( ST_FGM40,ST_KickReturns)</f>
        <v>5.7840575199307812E-2</v>
      </c>
      <c r="X34" s="63">
        <f>_xll.StatCorrelationCoeff( ST_FGM40,ST_YardsKickReturns)</f>
        <v>-8.5048141705780789E-3</v>
      </c>
      <c r="Y34" s="63">
        <f>_xll.StatCorrelationCoeff( ST_FGM40,ST_FGA039)</f>
        <v>-0.27007363458442252</v>
      </c>
      <c r="Z34" s="63">
        <f>_xll.StatCorrelationCoeff( ST_FGM40,ST_FGM039)</f>
        <v>-0.20688512683267224</v>
      </c>
      <c r="AA34" s="63">
        <f>_xll.StatCorrelationCoeff( ST_FGM40,ST_FGA40)</f>
        <v>0.86122464180910685</v>
      </c>
      <c r="AB34" s="63">
        <v>1</v>
      </c>
      <c r="AC34" s="63"/>
      <c r="AD34" s="63"/>
      <c r="AE34" s="63"/>
      <c r="AF34" s="63"/>
      <c r="AG34" s="63"/>
      <c r="AH34" s="63"/>
      <c r="AI34" s="63"/>
      <c r="AJ34" s="63"/>
      <c r="AK34" s="63"/>
      <c r="AL34" s="63"/>
      <c r="AM34" s="63"/>
      <c r="AN34" s="63"/>
      <c r="AO34" s="63"/>
      <c r="AP34" s="63"/>
      <c r="AQ34" s="63"/>
      <c r="AR34" s="63"/>
      <c r="AS34" s="63"/>
      <c r="AT34" s="63"/>
      <c r="AU34" s="63"/>
    </row>
    <row r="35" spans="1:47" ht="15" customHeight="1" x14ac:dyDescent="0.25">
      <c r="A35" s="60" t="s">
        <v>39</v>
      </c>
      <c r="B35" s="63">
        <f>_xll.StatCorrelationCoeff( ST_FGA40,ST_Wins)</f>
        <v>-0.12471926548597706</v>
      </c>
      <c r="C35" s="63">
        <f>_xll.StatCorrelationCoeff( ST_FGA40,ST_PointsScored)</f>
        <v>-0.15389297364511864</v>
      </c>
      <c r="D35" s="63">
        <f>_xll.StatCorrelationCoeff( ST_FGA40,ST_Yards)</f>
        <v>-4.9781793429149415E-2</v>
      </c>
      <c r="E35" s="63">
        <f>_xll.StatCorrelationCoeff( ST_FGA40,ST_Plays)</f>
        <v>3.2697534228794949E-2</v>
      </c>
      <c r="F35" s="63">
        <f>_xll.StatCorrelationCoeff( ST_FGA40,ST_1stDowns)</f>
        <v>-0.1136971337381328</v>
      </c>
      <c r="G35" s="63">
        <f>_xll.StatCorrelationCoeff( ST_FGA40,ST_Completions)</f>
        <v>-2.0739451466995271E-2</v>
      </c>
      <c r="H35" s="63">
        <f>_xll.StatCorrelationCoeff( ST_FGA40,ST_PassAttempts)</f>
        <v>4.7804998978995289E-2</v>
      </c>
      <c r="I35" s="63">
        <f>_xll.StatCorrelationCoeff( ST_FGA40,ST_PassingYards)</f>
        <v>-3.9044101272437244E-2</v>
      </c>
      <c r="J35" s="63">
        <f>_xll.StatCorrelationCoeff( ST_FGA40,ST_PassingTDs)</f>
        <v>-0.25887716010451611</v>
      </c>
      <c r="K35" s="63">
        <f>_xll.StatCorrelationCoeff( ST_FGA40,ST_1stDownsPassing)</f>
        <v>-7.5628152600907092E-2</v>
      </c>
      <c r="L35" s="63">
        <f>_xll.StatCorrelationCoeff( ST_FGA40,ST_QBRating)</f>
        <v>-0.17566642129450552</v>
      </c>
      <c r="M35" s="63">
        <f>_xll.StatCorrelationCoeff( ST_FGA40,ST_SacksAgainst)</f>
        <v>6.2945682679407366E-2</v>
      </c>
      <c r="N35" s="63">
        <f>_xll.StatCorrelationCoeff( ST_FGA40,ST_SackyardsAgainst)</f>
        <v>0.10069567242356352</v>
      </c>
      <c r="O35" s="63">
        <f>_xll.StatCorrelationCoeff( ST_FGA40,ST_RushingAttempts)</f>
        <v>-3.8260276979480763E-2</v>
      </c>
      <c r="P35" s="63">
        <f>_xll.StatCorrelationCoeff( ST_FGA40,ST_RushingYards)</f>
        <v>-1.9698701588848979E-2</v>
      </c>
      <c r="Q35" s="63">
        <f>_xll.StatCorrelationCoeff( ST_FGA40,ST_RushingTDs)</f>
        <v>-4.3094270107149557E-2</v>
      </c>
      <c r="R35" s="63">
        <f>_xll.StatCorrelationCoeff( ST_FGA40,ST_1stDownsRushing)</f>
        <v>-7.735248059246555E-2</v>
      </c>
      <c r="S35" s="63">
        <f>_xll.StatCorrelationCoeff( ST_FGA40,ST_InterceptionsThrown)</f>
        <v>8.1341848044121395E-2</v>
      </c>
      <c r="T35" s="63">
        <f>_xll.StatCorrelationCoeff( ST_FGA40,ST_FumblesLost)</f>
        <v>0.10680075499119902</v>
      </c>
      <c r="U35" s="63">
        <f>_xll.StatCorrelationCoeff( ST_FGA40,ST_PuntReturns)</f>
        <v>8.9774899606606534E-2</v>
      </c>
      <c r="V35" s="63">
        <f>_xll.StatCorrelationCoeff( ST_FGA40,ST_YardsPuntReturns)</f>
        <v>9.8145858747569911E-2</v>
      </c>
      <c r="W35" s="63">
        <f>_xll.StatCorrelationCoeff( ST_FGA40,ST_KickReturns)</f>
        <v>6.1656151165293938E-2</v>
      </c>
      <c r="X35" s="63">
        <f>_xll.StatCorrelationCoeff( ST_FGA40,ST_YardsKickReturns)</f>
        <v>-2.8886029525435793E-3</v>
      </c>
      <c r="Y35" s="63">
        <f>_xll.StatCorrelationCoeff( ST_FGA40,ST_FGA039)</f>
        <v>-0.30184722061572206</v>
      </c>
      <c r="Z35" s="63">
        <f>_xll.StatCorrelationCoeff( ST_FGA40,ST_FGM039)</f>
        <v>-0.23830111690377606</v>
      </c>
      <c r="AA35" s="63">
        <v>1</v>
      </c>
      <c r="AB35" s="63"/>
      <c r="AC35" s="63"/>
      <c r="AD35" s="63"/>
      <c r="AE35" s="63"/>
      <c r="AF35" s="63"/>
      <c r="AG35" s="63"/>
      <c r="AH35" s="63"/>
      <c r="AI35" s="63"/>
      <c r="AJ35" s="63"/>
      <c r="AK35" s="63"/>
      <c r="AL35" s="63"/>
      <c r="AM35" s="63"/>
      <c r="AN35" s="63"/>
      <c r="AO35" s="63"/>
      <c r="AP35" s="63"/>
      <c r="AQ35" s="63"/>
      <c r="AR35" s="63"/>
      <c r="AS35" s="63"/>
      <c r="AT35" s="63"/>
      <c r="AU35" s="63"/>
    </row>
    <row r="36" spans="1:47" ht="15" customHeight="1" x14ac:dyDescent="0.25">
      <c r="A36" s="60" t="s">
        <v>74</v>
      </c>
      <c r="B36" s="63">
        <f>_xll.StatCorrelationCoeff( ST_PassingYardsAllowed,ST_Wins)</f>
        <v>-0.12766259698509635</v>
      </c>
      <c r="C36" s="63">
        <f>_xll.StatCorrelationCoeff( ST_PassingYardsAllowed,ST_PointsScored)</f>
        <v>0.11045370792443164</v>
      </c>
      <c r="D36" s="63">
        <f>_xll.StatCorrelationCoeff( ST_PassingYardsAllowed,ST_Yards)</f>
        <v>0.13921944239477974</v>
      </c>
      <c r="E36" s="63">
        <f>_xll.StatCorrelationCoeff( ST_PassingYardsAllowed,ST_Plays)</f>
        <v>-7.1743748315980224E-2</v>
      </c>
      <c r="F36" s="63">
        <f>_xll.StatCorrelationCoeff( ST_PassingYardsAllowed,ST_1stDowns)</f>
        <v>7.9255047498965808E-2</v>
      </c>
      <c r="G36" s="63">
        <f>_xll.StatCorrelationCoeff( ST_PassingYardsAllowed,ST_Completions)</f>
        <v>0.11204222181049689</v>
      </c>
      <c r="H36" s="63">
        <f>_xll.StatCorrelationCoeff( ST_PassingYardsAllowed,ST_PassAttempts)</f>
        <v>0.11813868203279063</v>
      </c>
      <c r="I36" s="63">
        <f>_xll.StatCorrelationCoeff( ST_PassingYardsAllowed,ST_PassingYards)</f>
        <v>0.1209209322376134</v>
      </c>
      <c r="J36" s="63">
        <f>_xll.StatCorrelationCoeff( ST_PassingYardsAllowed,ST_PassingTDs)</f>
        <v>0.10402918052720175</v>
      </c>
      <c r="K36" s="63">
        <f>_xll.StatCorrelationCoeff( ST_PassingYardsAllowed,ST_1stDownsPassing)</f>
        <v>9.5600782969641862E-2</v>
      </c>
      <c r="L36" s="63">
        <f>_xll.StatCorrelationCoeff( ST_PassingYardsAllowed,ST_QBRating)</f>
        <v>4.4292475497895105E-2</v>
      </c>
      <c r="M36" s="63">
        <f>_xll.StatCorrelationCoeff( ST_PassingYardsAllowed,ST_SacksAgainst)</f>
        <v>-0.10401234142983788</v>
      </c>
      <c r="N36" s="63">
        <f>_xll.StatCorrelationCoeff( ST_PassingYardsAllowed,ST_SackyardsAgainst)</f>
        <v>-0.12078259443823093</v>
      </c>
      <c r="O36" s="63">
        <f>_xll.StatCorrelationCoeff( ST_PassingYardsAllowed,ST_RushingAttempts)</f>
        <v>-0.15935699494436481</v>
      </c>
      <c r="P36" s="63">
        <f>_xll.StatCorrelationCoeff( ST_PassingYardsAllowed,ST_RushingYards)</f>
        <v>3.3995872668385621E-2</v>
      </c>
      <c r="Q36" s="63">
        <f>_xll.StatCorrelationCoeff( ST_PassingYardsAllowed,ST_RushingTDs)</f>
        <v>9.8258590564723899E-2</v>
      </c>
      <c r="R36" s="63">
        <f>_xll.StatCorrelationCoeff( ST_PassingYardsAllowed,ST_1stDownsRushing)</f>
        <v>4.3480382591879804E-3</v>
      </c>
      <c r="S36" s="63">
        <f>_xll.StatCorrelationCoeff( ST_PassingYardsAllowed,ST_InterceptionsThrown)</f>
        <v>5.3014681330420955E-2</v>
      </c>
      <c r="T36" s="63">
        <f>_xll.StatCorrelationCoeff( ST_PassingYardsAllowed,ST_FumblesLost)</f>
        <v>-5.5719976967416179E-2</v>
      </c>
      <c r="U36" s="63">
        <f>_xll.StatCorrelationCoeff( ST_PassingYardsAllowed,ST_PuntReturns)</f>
        <v>-0.35211823326921865</v>
      </c>
      <c r="V36" s="63">
        <f>_xll.StatCorrelationCoeff( ST_PassingYardsAllowed,ST_YardsPuntReturns)</f>
        <v>-0.20683432345614763</v>
      </c>
      <c r="W36" s="63">
        <f>_xll.StatCorrelationCoeff( ST_PassingYardsAllowed,ST_KickReturns)</f>
        <v>0.37295932695088491</v>
      </c>
      <c r="X36" s="63">
        <f>_xll.StatCorrelationCoeff( ST_PassingYardsAllowed,ST_YardsKickReturns)</f>
        <v>0.35331515586157258</v>
      </c>
      <c r="Y36" s="63">
        <f>_xll.StatCorrelationCoeff( ST_PassingYardsAllowed,ST_FGA039)</f>
        <v>-0.20383484258360948</v>
      </c>
      <c r="Z36" s="63">
        <f>_xll.StatCorrelationCoeff( ST_PassingYardsAllowed,ST_FGM039)</f>
        <v>-0.18037008669116122</v>
      </c>
      <c r="AA36" s="63">
        <f>_xll.StatCorrelationCoeff( ST_PassingYardsAllowed,ST_FGA40)</f>
        <v>2.952909924206738E-2</v>
      </c>
      <c r="AB36" s="63">
        <f>_xll.StatCorrelationCoeff( ST_PassingYardsAllowed,ST_FGM40)</f>
        <v>3.0675469713161187E-2</v>
      </c>
      <c r="AC36" s="63">
        <f>_xll.StatCorrelationCoeff( ST_PassingYardsAllowed,ST_Punts)</f>
        <v>-6.0879287466787599E-2</v>
      </c>
      <c r="AD36" s="63">
        <f>_xll.StatCorrelationCoeff( ST_PassingYardsAllowed,ST_PuntYards)</f>
        <v>-0.16373003635084343</v>
      </c>
      <c r="AE36" s="63">
        <f>_xll.StatCorrelationCoeff( ST_PassingYardsAllowed,ST_PointsAllowed)</f>
        <v>0.48839128396023984</v>
      </c>
      <c r="AF36" s="63">
        <f>_xll.StatCorrelationCoeff( ST_PassingYardsAllowed,ST_YardsAllowed)</f>
        <v>0.74062698481901357</v>
      </c>
      <c r="AG36" s="63">
        <f>_xll.StatCorrelationCoeff( ST_PassingYardsAllowed,ST_PlaysbyOpponent)</f>
        <v>0.42889048019150811</v>
      </c>
      <c r="AH36" s="63">
        <f>_xll.StatCorrelationCoeff( ST_PassingYardsAllowed,ST_1stDownsAllowed)</f>
        <v>0.62904065092991135</v>
      </c>
      <c r="AI36" s="63">
        <f>_xll.StatCorrelationCoeff( ST_PassingYardsAllowed,ST_CompletionsAllowed)</f>
        <v>0.74898714540548472</v>
      </c>
      <c r="AJ36" s="63">
        <f>_xll.StatCorrelationCoeff( ST_PassingYardsAllowed,ST_PassingAttemptsbyOpponents)</f>
        <v>0.58781266837159007</v>
      </c>
      <c r="AK36" s="63">
        <v>1</v>
      </c>
      <c r="AL36" s="63"/>
      <c r="AM36" s="63"/>
      <c r="AN36" s="63"/>
      <c r="AO36" s="63"/>
      <c r="AP36" s="63"/>
      <c r="AQ36" s="63"/>
      <c r="AR36" s="63"/>
      <c r="AS36" s="63"/>
      <c r="AT36" s="63"/>
      <c r="AU36" s="63"/>
    </row>
    <row r="37" spans="1:47" ht="15" customHeight="1" x14ac:dyDescent="0.25">
      <c r="A37" s="60" t="s">
        <v>50</v>
      </c>
      <c r="B37" s="63">
        <f>_xll.StatCorrelationCoeff( ST_PassAttempts,ST_Wins)</f>
        <v>-0.13407213382634467</v>
      </c>
      <c r="C37" s="63">
        <f>_xll.StatCorrelationCoeff( ST_PassAttempts,ST_PointsScored)</f>
        <v>0.14534093407530027</v>
      </c>
      <c r="D37" s="63">
        <f>_xll.StatCorrelationCoeff( ST_PassAttempts,ST_Yards)</f>
        <v>0.38056818498679856</v>
      </c>
      <c r="E37" s="63">
        <f>_xll.StatCorrelationCoeff( ST_PassAttempts,ST_Plays)</f>
        <v>0.48653771629478471</v>
      </c>
      <c r="F37" s="63">
        <f>_xll.StatCorrelationCoeff( ST_PassAttempts,ST_1stDowns)</f>
        <v>0.38823595895056734</v>
      </c>
      <c r="G37" s="63">
        <f>_xll.StatCorrelationCoeff( ST_PassAttempts,ST_Completions)</f>
        <v>0.8883974293997533</v>
      </c>
      <c r="H37" s="63">
        <v>1</v>
      </c>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row>
    <row r="38" spans="1:47" ht="15" customHeight="1" x14ac:dyDescent="0.25">
      <c r="A38" s="60" t="s">
        <v>59</v>
      </c>
      <c r="B38" s="63">
        <f>_xll.StatCorrelationCoeff( ST_PuntYards,ST_Wins)</f>
        <v>-0.17393754936205996</v>
      </c>
      <c r="C38" s="63">
        <f>_xll.StatCorrelationCoeff( ST_PuntYards,ST_PointsScored)</f>
        <v>-0.27986591640174058</v>
      </c>
      <c r="D38" s="63">
        <f>_xll.StatCorrelationCoeff( ST_PuntYards,ST_Yards)</f>
        <v>-0.39327858097511104</v>
      </c>
      <c r="E38" s="63">
        <f>_xll.StatCorrelationCoeff( ST_PuntYards,ST_Plays)</f>
        <v>-0.1763006280752214</v>
      </c>
      <c r="F38" s="63">
        <f>_xll.StatCorrelationCoeff( ST_PuntYards,ST_1stDowns)</f>
        <v>-0.33617052799160202</v>
      </c>
      <c r="G38" s="63">
        <f>_xll.StatCorrelationCoeff( ST_PuntYards,ST_Completions)</f>
        <v>-0.26550577973446993</v>
      </c>
      <c r="H38" s="63">
        <f>_xll.StatCorrelationCoeff( ST_PuntYards,ST_PassAttempts)</f>
        <v>-0.15647791509528736</v>
      </c>
      <c r="I38" s="63">
        <f>_xll.StatCorrelationCoeff( ST_PuntYards,ST_PassingYards)</f>
        <v>-0.33071011159495178</v>
      </c>
      <c r="J38" s="63">
        <f>_xll.StatCorrelationCoeff( ST_PuntYards,ST_PassingTDs)</f>
        <v>-0.27889768730337888</v>
      </c>
      <c r="K38" s="63">
        <f>_xll.StatCorrelationCoeff( ST_PuntYards,ST_1stDownsPassing)</f>
        <v>-0.3249060833647251</v>
      </c>
      <c r="L38" s="63">
        <f>_xll.StatCorrelationCoeff( ST_PuntYards,ST_QBRating)</f>
        <v>-0.28258439128938129</v>
      </c>
      <c r="M38" s="63">
        <f>_xll.StatCorrelationCoeff( ST_PuntYards,ST_SacksAgainst)</f>
        <v>0.19952463407677146</v>
      </c>
      <c r="N38" s="63">
        <f>_xll.StatCorrelationCoeff( ST_PuntYards,ST_SackyardsAgainst)</f>
        <v>0.20040791653687429</v>
      </c>
      <c r="O38" s="63">
        <f>_xll.StatCorrelationCoeff( ST_PuntYards,ST_RushingAttempts)</f>
        <v>-1.7460979295853822E-2</v>
      </c>
      <c r="P38" s="63">
        <f>_xll.StatCorrelationCoeff( ST_PuntYards,ST_RushingYards)</f>
        <v>-0.11559367298847864</v>
      </c>
      <c r="Q38" s="63">
        <f>_xll.StatCorrelationCoeff( ST_PuntYards,ST_RushingTDs)</f>
        <v>-0.17617564063252475</v>
      </c>
      <c r="R38" s="63">
        <f>_xll.StatCorrelationCoeff( ST_PuntYards,ST_1stDownsRushing)</f>
        <v>-0.11982769882346501</v>
      </c>
      <c r="S38" s="63">
        <f>_xll.StatCorrelationCoeff( ST_PuntYards,ST_InterceptionsThrown)</f>
        <v>3.3343410659108084E-2</v>
      </c>
      <c r="T38" s="63">
        <f>_xll.StatCorrelationCoeff( ST_PuntYards,ST_FumblesLost)</f>
        <v>0.22839354306200968</v>
      </c>
      <c r="U38" s="63">
        <f>_xll.StatCorrelationCoeff( ST_PuntYards,ST_PuntReturns)</f>
        <v>0.17135420042753066</v>
      </c>
      <c r="V38" s="63">
        <f>_xll.StatCorrelationCoeff( ST_PuntYards,ST_YardsPuntReturns)</f>
        <v>0.1394392930735204</v>
      </c>
      <c r="W38" s="63">
        <f>_xll.StatCorrelationCoeff( ST_PuntYards,ST_KickReturns)</f>
        <v>0.17097614523985863</v>
      </c>
      <c r="X38" s="63">
        <f>_xll.StatCorrelationCoeff( ST_PuntYards,ST_YardsKickReturns)</f>
        <v>9.7860272458846112E-2</v>
      </c>
      <c r="Y38" s="63">
        <f>_xll.StatCorrelationCoeff( ST_PuntYards,ST_FGA039)</f>
        <v>-0.1146520719859252</v>
      </c>
      <c r="Z38" s="63">
        <f>_xll.StatCorrelationCoeff( ST_PuntYards,ST_FGM039)</f>
        <v>-9.5160343754651253E-2</v>
      </c>
      <c r="AA38" s="63">
        <f>_xll.StatCorrelationCoeff( ST_PuntYards,ST_FGA40)</f>
        <v>0.10593042635505616</v>
      </c>
      <c r="AB38" s="63">
        <f>_xll.StatCorrelationCoeff( ST_PuntYards,ST_FGM40)</f>
        <v>9.6381561274211394E-2</v>
      </c>
      <c r="AC38" s="63">
        <f>_xll.StatCorrelationCoeff( ST_PuntYards,ST_Punts)</f>
        <v>0.38405870283749849</v>
      </c>
      <c r="AD38" s="63">
        <v>1</v>
      </c>
      <c r="AE38" s="63"/>
      <c r="AF38" s="63"/>
      <c r="AG38" s="63"/>
      <c r="AH38" s="63"/>
      <c r="AI38" s="63"/>
      <c r="AJ38" s="63"/>
      <c r="AK38" s="63"/>
      <c r="AL38" s="63"/>
      <c r="AM38" s="63"/>
      <c r="AN38" s="63"/>
      <c r="AO38" s="63"/>
      <c r="AP38" s="63"/>
      <c r="AQ38" s="63"/>
      <c r="AR38" s="63"/>
      <c r="AS38" s="63"/>
      <c r="AT38" s="63"/>
      <c r="AU38" s="63"/>
    </row>
    <row r="39" spans="1:47" ht="15" customHeight="1" x14ac:dyDescent="0.25">
      <c r="A39" s="60" t="s">
        <v>70</v>
      </c>
      <c r="B39" s="63">
        <f>_xll.StatCorrelationCoeff( ST_PlaysbyOpponent,ST_Wins)</f>
        <v>-0.24786163756619009</v>
      </c>
      <c r="C39" s="63">
        <f>_xll.StatCorrelationCoeff( ST_PlaysbyOpponent,ST_PointsScored)</f>
        <v>-0.21779172455941403</v>
      </c>
      <c r="D39" s="63">
        <f>_xll.StatCorrelationCoeff( ST_PlaysbyOpponent,ST_Yards)</f>
        <v>-0.35349181767801835</v>
      </c>
      <c r="E39" s="63">
        <f>_xll.StatCorrelationCoeff( ST_PlaysbyOpponent,ST_Plays)</f>
        <v>-0.53032225919482923</v>
      </c>
      <c r="F39" s="63">
        <f>_xll.StatCorrelationCoeff( ST_PlaysbyOpponent,ST_1stDowns)</f>
        <v>-0.44772247981888774</v>
      </c>
      <c r="G39" s="63">
        <f>_xll.StatCorrelationCoeff( ST_PlaysbyOpponent,ST_Completions)</f>
        <v>-0.2071600300784455</v>
      </c>
      <c r="H39" s="63">
        <f>_xll.StatCorrelationCoeff( ST_PlaysbyOpponent,ST_PassAttempts)</f>
        <v>-3.3776223245523415E-2</v>
      </c>
      <c r="I39" s="63">
        <f>_xll.StatCorrelationCoeff( ST_PlaysbyOpponent,ST_PassingYards)</f>
        <v>-0.2241592434831686</v>
      </c>
      <c r="J39" s="63">
        <f>_xll.StatCorrelationCoeff( ST_PlaysbyOpponent,ST_PassingTDs)</f>
        <v>-0.1259217128439587</v>
      </c>
      <c r="K39" s="63">
        <f>_xll.StatCorrelationCoeff( ST_PlaysbyOpponent,ST_1stDownsPassing)</f>
        <v>-0.28107259174784882</v>
      </c>
      <c r="L39" s="63">
        <f>_xll.StatCorrelationCoeff( ST_PlaysbyOpponent,ST_QBRating)</f>
        <v>-0.32690128044783651</v>
      </c>
      <c r="M39" s="63">
        <f>_xll.StatCorrelationCoeff( ST_PlaysbyOpponent,ST_SacksAgainst)</f>
        <v>8.5454432888021722E-2</v>
      </c>
      <c r="N39" s="63">
        <f>_xll.StatCorrelationCoeff( ST_PlaysbyOpponent,ST_SackyardsAgainst)</f>
        <v>5.2561965261932964E-2</v>
      </c>
      <c r="O39" s="63">
        <f>_xll.StatCorrelationCoeff( ST_PlaysbyOpponent,ST_RushingAttempts)</f>
        <v>-0.40332233281572394</v>
      </c>
      <c r="P39" s="63">
        <f>_xll.StatCorrelationCoeff( ST_PlaysbyOpponent,ST_RushingYards)</f>
        <v>-0.23533507129286929</v>
      </c>
      <c r="Q39" s="63">
        <f>_xll.StatCorrelationCoeff( ST_PlaysbyOpponent,ST_RushingTDs)</f>
        <v>-0.25157718105883281</v>
      </c>
      <c r="R39" s="63">
        <f>_xll.StatCorrelationCoeff( ST_PlaysbyOpponent,ST_1stDownsRushing)</f>
        <v>-0.37588917030317193</v>
      </c>
      <c r="S39" s="63">
        <f>_xll.StatCorrelationCoeff( ST_PlaysbyOpponent,ST_InterceptionsThrown)</f>
        <v>0.2109165687356106</v>
      </c>
      <c r="T39" s="63">
        <f>_xll.StatCorrelationCoeff( ST_PlaysbyOpponent,ST_FumblesLost)</f>
        <v>-6.7878079632808022E-2</v>
      </c>
      <c r="U39" s="63">
        <f>_xll.StatCorrelationCoeff( ST_PlaysbyOpponent,ST_PuntReturns)</f>
        <v>-0.1395470571108105</v>
      </c>
      <c r="V39" s="63">
        <f>_xll.StatCorrelationCoeff( ST_PlaysbyOpponent,ST_YardsPuntReturns)</f>
        <v>-4.0046573118685022E-2</v>
      </c>
      <c r="W39" s="63">
        <f>_xll.StatCorrelationCoeff( ST_PlaysbyOpponent,ST_KickReturns)</f>
        <v>0.30659663860310421</v>
      </c>
      <c r="X39" s="63">
        <f>_xll.StatCorrelationCoeff( ST_PlaysbyOpponent,ST_YardsKickReturns)</f>
        <v>0.29072260571765773</v>
      </c>
      <c r="Y39" s="63">
        <f>_xll.StatCorrelationCoeff( ST_PlaysbyOpponent,ST_FGA039)</f>
        <v>-0.15351336196853255</v>
      </c>
      <c r="Z39" s="63">
        <f>_xll.StatCorrelationCoeff( ST_PlaysbyOpponent,ST_FGM039)</f>
        <v>-0.13927439713963305</v>
      </c>
      <c r="AA39" s="63">
        <f>_xll.StatCorrelationCoeff( ST_PlaysbyOpponent,ST_FGA40)</f>
        <v>-4.3218771625332546E-2</v>
      </c>
      <c r="AB39" s="63">
        <f>_xll.StatCorrelationCoeff( ST_PlaysbyOpponent,ST_FGM40)</f>
        <v>4.9380147791180647E-4</v>
      </c>
      <c r="AC39" s="63">
        <f>_xll.StatCorrelationCoeff( ST_PlaysbyOpponent,ST_Punts)</f>
        <v>0.37410868987794449</v>
      </c>
      <c r="AD39" s="63">
        <f>_xll.StatCorrelationCoeff( ST_PlaysbyOpponent,ST_PuntYards)</f>
        <v>7.2327385769258984E-2</v>
      </c>
      <c r="AE39" s="63">
        <f>_xll.StatCorrelationCoeff( ST_PlaysbyOpponent,ST_PointsAllowed)</f>
        <v>0.28896421238117082</v>
      </c>
      <c r="AF39" s="63">
        <f>_xll.StatCorrelationCoeff( ST_PlaysbyOpponent,ST_YardsAllowed)</f>
        <v>0.56804263543483346</v>
      </c>
      <c r="AG39" s="63">
        <v>1</v>
      </c>
      <c r="AH39" s="63"/>
      <c r="AI39" s="63"/>
      <c r="AJ39" s="63"/>
      <c r="AK39" s="63"/>
      <c r="AL39" s="63"/>
      <c r="AM39" s="63"/>
      <c r="AN39" s="63"/>
      <c r="AO39" s="63"/>
      <c r="AP39" s="63"/>
      <c r="AQ39" s="63"/>
      <c r="AR39" s="63"/>
      <c r="AS39" s="63"/>
      <c r="AT39" s="63"/>
      <c r="AU39" s="63"/>
    </row>
    <row r="40" spans="1:47" ht="15" customHeight="1" x14ac:dyDescent="0.25">
      <c r="A40" s="60" t="s">
        <v>54</v>
      </c>
      <c r="B40" s="63">
        <f>_xll.StatCorrelationCoeff( ST_FumblesLost,ST_Wins)</f>
        <v>-0.25608716841776136</v>
      </c>
      <c r="C40" s="63">
        <f>_xll.StatCorrelationCoeff( ST_FumblesLost,ST_PointsScored)</f>
        <v>-0.1989803420197386</v>
      </c>
      <c r="D40" s="63">
        <f>_xll.StatCorrelationCoeff( ST_FumblesLost,ST_Yards)</f>
        <v>-0.20622456379922791</v>
      </c>
      <c r="E40" s="63">
        <f>_xll.StatCorrelationCoeff( ST_FumblesLost,ST_Plays)</f>
        <v>-0.14212480030275304</v>
      </c>
      <c r="F40" s="63">
        <f>_xll.StatCorrelationCoeff( ST_FumblesLost,ST_1stDowns)</f>
        <v>-0.21472291366093171</v>
      </c>
      <c r="G40" s="63">
        <f>_xll.StatCorrelationCoeff( ST_FumblesLost,ST_Completions)</f>
        <v>-4.6960151033973697E-2</v>
      </c>
      <c r="H40" s="63">
        <f>_xll.StatCorrelationCoeff( ST_FumblesLost,ST_PassAttempts)</f>
        <v>-2.5053425260676245E-2</v>
      </c>
      <c r="I40" s="63">
        <f>_xll.StatCorrelationCoeff( ST_FumblesLost,ST_PassingYards)</f>
        <v>-0.13368993857099223</v>
      </c>
      <c r="J40" s="63">
        <f>_xll.StatCorrelationCoeff( ST_FumblesLost,ST_PassingTDs)</f>
        <v>-0.26561613529806066</v>
      </c>
      <c r="K40" s="63">
        <f>_xll.StatCorrelationCoeff( ST_FumblesLost,ST_1stDownsPassing)</f>
        <v>-0.1493437382619997</v>
      </c>
      <c r="L40" s="63">
        <f>_xll.StatCorrelationCoeff( ST_FumblesLost,ST_QBRating)</f>
        <v>-0.18203873428521644</v>
      </c>
      <c r="M40" s="63">
        <f>_xll.StatCorrelationCoeff( ST_FumblesLost,ST_SacksAgainst)</f>
        <v>0.23160937454059682</v>
      </c>
      <c r="N40" s="63">
        <f>_xll.StatCorrelationCoeff( ST_FumblesLost,ST_SackyardsAgainst)</f>
        <v>0.24069152262545851</v>
      </c>
      <c r="O40" s="63">
        <f>_xll.StatCorrelationCoeff( ST_FumblesLost,ST_RushingAttempts)</f>
        <v>-0.13632548639016426</v>
      </c>
      <c r="P40" s="63">
        <f>_xll.StatCorrelationCoeff( ST_FumblesLost,ST_RushingYards)</f>
        <v>-0.13204739182889183</v>
      </c>
      <c r="Q40" s="63">
        <f>_xll.StatCorrelationCoeff( ST_FumblesLost,ST_RushingTDs)</f>
        <v>-8.2553489071086561E-2</v>
      </c>
      <c r="R40" s="63">
        <f>_xll.StatCorrelationCoeff( ST_FumblesLost,ST_1stDownsRushing)</f>
        <v>-0.10697050264033442</v>
      </c>
      <c r="S40" s="63">
        <f>_xll.StatCorrelationCoeff( ST_FumblesLost,ST_InterceptionsThrown)</f>
        <v>6.6539606621109942E-2</v>
      </c>
      <c r="T40" s="63">
        <v>1</v>
      </c>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row>
    <row r="41" spans="1:47" ht="15" customHeight="1" x14ac:dyDescent="0.25">
      <c r="A41" s="60" t="s">
        <v>75</v>
      </c>
      <c r="B41" s="63">
        <f>_xll.StatCorrelationCoeff( ST_PassingTDsAllowed,ST_Wins)</f>
        <v>-0.30760136803785731</v>
      </c>
      <c r="C41" s="63">
        <f>_xll.StatCorrelationCoeff( ST_PassingTDsAllowed,ST_PointsScored)</f>
        <v>2.6276548145100099E-2</v>
      </c>
      <c r="D41" s="63">
        <f>_xll.StatCorrelationCoeff( ST_PassingTDsAllowed,ST_Yards)</f>
        <v>0.14338872140147305</v>
      </c>
      <c r="E41" s="63">
        <f>_xll.StatCorrelationCoeff( ST_PassingTDsAllowed,ST_Plays)</f>
        <v>7.5000164426364549E-2</v>
      </c>
      <c r="F41" s="63">
        <f>_xll.StatCorrelationCoeff( ST_PassingTDsAllowed,ST_1stDowns)</f>
        <v>0.10861645535264083</v>
      </c>
      <c r="G41" s="63">
        <f>_xll.StatCorrelationCoeff( ST_PassingTDsAllowed,ST_Completions)</f>
        <v>0.30498186498703983</v>
      </c>
      <c r="H41" s="63">
        <f>_xll.StatCorrelationCoeff( ST_PassingTDsAllowed,ST_PassAttempts)</f>
        <v>0.36571066682131109</v>
      </c>
      <c r="I41" s="63">
        <f>_xll.StatCorrelationCoeff( ST_PassingTDsAllowed,ST_PassingYards)</f>
        <v>0.26360241943869678</v>
      </c>
      <c r="J41" s="63">
        <f>_xll.StatCorrelationCoeff( ST_PassingTDsAllowed,ST_PassingTDs)</f>
        <v>0.13519829423046056</v>
      </c>
      <c r="K41" s="63">
        <f>_xll.StatCorrelationCoeff( ST_PassingTDsAllowed,ST_1stDownsPassing)</f>
        <v>0.23694437697570864</v>
      </c>
      <c r="L41" s="63">
        <f>_xll.StatCorrelationCoeff( ST_PassingTDsAllowed,ST_QBRating)</f>
        <v>2.1540978867862243E-2</v>
      </c>
      <c r="M41" s="63">
        <f>_xll.StatCorrelationCoeff( ST_PassingTDsAllowed,ST_SacksAgainst)</f>
        <v>5.3081273473360509E-2</v>
      </c>
      <c r="N41" s="63">
        <f>_xll.StatCorrelationCoeff( ST_PassingTDsAllowed,ST_SackyardsAgainst)</f>
        <v>2.1609994931412534E-2</v>
      </c>
      <c r="O41" s="63">
        <f>_xll.StatCorrelationCoeff( ST_PassingTDsAllowed,ST_RushingAttempts)</f>
        <v>-0.33886666769652979</v>
      </c>
      <c r="P41" s="63">
        <f>_xll.StatCorrelationCoeff( ST_PassingTDsAllowed,ST_RushingYards)</f>
        <v>-0.21504045446699721</v>
      </c>
      <c r="Q41" s="63">
        <f>_xll.StatCorrelationCoeff( ST_PassingTDsAllowed,ST_RushingTDs)</f>
        <v>-9.4004072522893833E-2</v>
      </c>
      <c r="R41" s="63">
        <f>_xll.StatCorrelationCoeff( ST_PassingTDsAllowed,ST_1stDownsRushing)</f>
        <v>-0.17572848593576867</v>
      </c>
      <c r="S41" s="63">
        <f>_xll.StatCorrelationCoeff( ST_PassingTDsAllowed,ST_InterceptionsThrown)</f>
        <v>0.2048680793091473</v>
      </c>
      <c r="T41" s="63">
        <f>_xll.StatCorrelationCoeff( ST_PassingTDsAllowed,ST_FumblesLost)</f>
        <v>-4.8098753742366822E-2</v>
      </c>
      <c r="U41" s="63">
        <f>_xll.StatCorrelationCoeff( ST_PassingTDsAllowed,ST_PuntReturns)</f>
        <v>-0.18972855665277097</v>
      </c>
      <c r="V41" s="63">
        <f>_xll.StatCorrelationCoeff( ST_PassingTDsAllowed,ST_YardsPuntReturns)</f>
        <v>-0.1476124477228356</v>
      </c>
      <c r="W41" s="63">
        <f>_xll.StatCorrelationCoeff( ST_PassingTDsAllowed,ST_KickReturns)</f>
        <v>0.48603510381561921</v>
      </c>
      <c r="X41" s="63">
        <f>_xll.StatCorrelationCoeff( ST_PassingTDsAllowed,ST_YardsKickReturns)</f>
        <v>0.44200100425832101</v>
      </c>
      <c r="Y41" s="63">
        <f>_xll.StatCorrelationCoeff( ST_PassingTDsAllowed,ST_FGA039)</f>
        <v>-0.12371399571705533</v>
      </c>
      <c r="Z41" s="63">
        <f>_xll.StatCorrelationCoeff( ST_PassingTDsAllowed,ST_FGM039)</f>
        <v>-0.12265910139770188</v>
      </c>
      <c r="AA41" s="63">
        <f>_xll.StatCorrelationCoeff( ST_PassingTDsAllowed,ST_FGA40)</f>
        <v>-2.9944112050957886E-2</v>
      </c>
      <c r="AB41" s="63">
        <f>_xll.StatCorrelationCoeff( ST_PassingTDsAllowed,ST_FGM40)</f>
        <v>-2.9665719824248652E-2</v>
      </c>
      <c r="AC41" s="63">
        <f>_xll.StatCorrelationCoeff( ST_PassingTDsAllowed,ST_Punts)</f>
        <v>-0.11093200663377724</v>
      </c>
      <c r="AD41" s="63">
        <f>_xll.StatCorrelationCoeff( ST_PassingTDsAllowed,ST_PuntYards)</f>
        <v>-0.10177327364566423</v>
      </c>
      <c r="AE41" s="63">
        <f>_xll.StatCorrelationCoeff( ST_PassingTDsAllowed,ST_PointsAllowed)</f>
        <v>0.63943955920739126</v>
      </c>
      <c r="AF41" s="63">
        <f>_xll.StatCorrelationCoeff( ST_PassingTDsAllowed,ST_YardsAllowed)</f>
        <v>0.51893365024879812</v>
      </c>
      <c r="AG41" s="63">
        <f>_xll.StatCorrelationCoeff( ST_PassingTDsAllowed,ST_PlaysbyOpponent)</f>
        <v>0.13110790766591676</v>
      </c>
      <c r="AH41" s="63">
        <f>_xll.StatCorrelationCoeff( ST_PassingTDsAllowed,ST_1stDownsAllowed)</f>
        <v>0.46956749650567786</v>
      </c>
      <c r="AI41" s="63">
        <f>_xll.StatCorrelationCoeff( ST_PassingTDsAllowed,ST_CompletionsAllowed)</f>
        <v>0.26149681876169095</v>
      </c>
      <c r="AJ41" s="63">
        <f>_xll.StatCorrelationCoeff( ST_PassingTDsAllowed,ST_PassingAttemptsbyOpponents)</f>
        <v>5.6180573069030092E-2</v>
      </c>
      <c r="AK41" s="63">
        <f>_xll.StatCorrelationCoeff( ST_PassingTDsAllowed,ST_PassingYardsAllowed)</f>
        <v>0.51839256165819159</v>
      </c>
      <c r="AL41" s="63">
        <v>1</v>
      </c>
      <c r="AM41" s="63"/>
      <c r="AN41" s="63"/>
      <c r="AO41" s="63"/>
      <c r="AP41" s="63"/>
      <c r="AQ41" s="63"/>
      <c r="AR41" s="63"/>
      <c r="AS41" s="63"/>
      <c r="AT41" s="63"/>
      <c r="AU41" s="63"/>
    </row>
    <row r="42" spans="1:47" ht="15" customHeight="1" x14ac:dyDescent="0.25">
      <c r="A42" s="60" t="s">
        <v>71</v>
      </c>
      <c r="B42" s="63">
        <f>_xll.StatCorrelationCoeff( ST_1stDownsAllowed,ST_Wins)</f>
        <v>-0.37991587222322298</v>
      </c>
      <c r="C42" s="63">
        <f>_xll.StatCorrelationCoeff( ST_1stDownsAllowed,ST_PointsScored)</f>
        <v>-0.11760495735387792</v>
      </c>
      <c r="D42" s="63">
        <f>_xll.StatCorrelationCoeff( ST_1stDownsAllowed,ST_Yards)</f>
        <v>-9.7003582909171673E-2</v>
      </c>
      <c r="E42" s="63">
        <f>_xll.StatCorrelationCoeff( ST_1stDownsAllowed,ST_Plays)</f>
        <v>-0.40369282595459033</v>
      </c>
      <c r="F42" s="63">
        <f>_xll.StatCorrelationCoeff( ST_1stDownsAllowed,ST_1stDowns)</f>
        <v>-0.13045171614899856</v>
      </c>
      <c r="G42" s="63">
        <f>_xll.StatCorrelationCoeff( ST_1stDownsAllowed,ST_Completions)</f>
        <v>3.7636914370422693E-2</v>
      </c>
      <c r="H42" s="63">
        <f>_xll.StatCorrelationCoeff( ST_1stDownsAllowed,ST_PassAttempts)</f>
        <v>0.10794973808712166</v>
      </c>
      <c r="I42" s="63">
        <f>_xll.StatCorrelationCoeff( ST_1stDownsAllowed,ST_PassingYards)</f>
        <v>3.3419199136517294E-2</v>
      </c>
      <c r="J42" s="63">
        <f>_xll.StatCorrelationCoeff( ST_1stDownsAllowed,ST_PassingTDs)</f>
        <v>2.516442556338009E-2</v>
      </c>
      <c r="K42" s="63">
        <f>_xll.StatCorrelationCoeff( ST_1stDownsAllowed,ST_1stDownsPassing)</f>
        <v>4.8363483490868244E-3</v>
      </c>
      <c r="L42" s="63">
        <f>_xll.StatCorrelationCoeff( ST_1stDownsAllowed,ST_QBRating)</f>
        <v>-9.6547254762818002E-2</v>
      </c>
      <c r="M42" s="63">
        <f>_xll.StatCorrelationCoeff( ST_1stDownsAllowed,ST_SacksAgainst)</f>
        <v>5.4047939160783758E-2</v>
      </c>
      <c r="N42" s="63">
        <f>_xll.StatCorrelationCoeff( ST_1stDownsAllowed,ST_SackyardsAgainst)</f>
        <v>2.7875496130245161E-2</v>
      </c>
      <c r="O42" s="63">
        <f>_xll.StatCorrelationCoeff( ST_1stDownsAllowed,ST_RushingAttempts)</f>
        <v>-0.44602668221126701</v>
      </c>
      <c r="P42" s="63">
        <f>_xll.StatCorrelationCoeff( ST_1stDownsAllowed,ST_RushingYards)</f>
        <v>-0.2352836840083623</v>
      </c>
      <c r="Q42" s="63">
        <f>_xll.StatCorrelationCoeff( ST_1stDownsAllowed,ST_RushingTDs)</f>
        <v>-0.16742186685794952</v>
      </c>
      <c r="R42" s="63">
        <f>_xll.StatCorrelationCoeff( ST_1stDownsAllowed,ST_1stDownsRushing)</f>
        <v>-0.24260831693408369</v>
      </c>
      <c r="S42" s="63">
        <f>_xll.StatCorrelationCoeff( ST_1stDownsAllowed,ST_InterceptionsThrown)</f>
        <v>0.16508027333742312</v>
      </c>
      <c r="T42" s="63">
        <f>_xll.StatCorrelationCoeff( ST_1stDownsAllowed,ST_FumblesLost)</f>
        <v>-6.7411698277319534E-2</v>
      </c>
      <c r="U42" s="63">
        <f>_xll.StatCorrelationCoeff( ST_1stDownsAllowed,ST_PuntReturns)</f>
        <v>-0.54362107567279916</v>
      </c>
      <c r="V42" s="63">
        <f>_xll.StatCorrelationCoeff( ST_1stDownsAllowed,ST_YardsPuntReturns)</f>
        <v>-0.32411314079069203</v>
      </c>
      <c r="W42" s="63">
        <f>_xll.StatCorrelationCoeff( ST_1stDownsAllowed,ST_KickReturns)</f>
        <v>0.61128716071004063</v>
      </c>
      <c r="X42" s="63">
        <f>_xll.StatCorrelationCoeff( ST_1stDownsAllowed,ST_YardsKickReturns)</f>
        <v>0.56424194499702229</v>
      </c>
      <c r="Y42" s="63">
        <f>_xll.StatCorrelationCoeff( ST_1stDownsAllowed,ST_FGA039)</f>
        <v>-0.18747961796887136</v>
      </c>
      <c r="Z42" s="63">
        <f>_xll.StatCorrelationCoeff( ST_1stDownsAllowed,ST_FGM039)</f>
        <v>-0.18492704225495396</v>
      </c>
      <c r="AA42" s="63">
        <f>_xll.StatCorrelationCoeff( ST_1stDownsAllowed,ST_FGA40)</f>
        <v>-2.6575418484968701E-2</v>
      </c>
      <c r="AB42" s="63">
        <f>_xll.StatCorrelationCoeff( ST_1stDownsAllowed,ST_FGM40)</f>
        <v>1.4839836292509453E-2</v>
      </c>
      <c r="AC42" s="63">
        <f>_xll.StatCorrelationCoeff( ST_1stDownsAllowed,ST_Punts)</f>
        <v>-8.5731911574096889E-2</v>
      </c>
      <c r="AD42" s="63">
        <f>_xll.StatCorrelationCoeff( ST_1stDownsAllowed,ST_PuntYards)</f>
        <v>-6.8816189917280293E-2</v>
      </c>
      <c r="AE42" s="63">
        <f>_xll.StatCorrelationCoeff( ST_1stDownsAllowed,ST_PointsAllowed)</f>
        <v>0.71275439234372395</v>
      </c>
      <c r="AF42" s="63">
        <f>_xll.StatCorrelationCoeff( ST_1stDownsAllowed,ST_YardsAllowed)</f>
        <v>0.8860675299592885</v>
      </c>
      <c r="AG42" s="63">
        <f>_xll.StatCorrelationCoeff( ST_1stDownsAllowed,ST_PlaysbyOpponent)</f>
        <v>0.63065043103545648</v>
      </c>
      <c r="AH42" s="63">
        <v>1</v>
      </c>
      <c r="AI42" s="63"/>
      <c r="AJ42" s="63"/>
      <c r="AK42" s="63"/>
      <c r="AL42" s="63"/>
      <c r="AM42" s="63"/>
      <c r="AN42" s="63"/>
      <c r="AO42" s="63"/>
      <c r="AP42" s="63"/>
      <c r="AQ42" s="63"/>
      <c r="AR42" s="63"/>
      <c r="AS42" s="63"/>
      <c r="AT42" s="63"/>
      <c r="AU42" s="63"/>
    </row>
    <row r="43" spans="1:47" ht="15" customHeight="1" x14ac:dyDescent="0.25">
      <c r="A43" s="60" t="s">
        <v>58</v>
      </c>
      <c r="B43" s="63">
        <f>_xll.StatCorrelationCoeff( ST_Punts,ST_Wins)</f>
        <v>-0.42561798968806841</v>
      </c>
      <c r="C43" s="63">
        <f>_xll.StatCorrelationCoeff( ST_Punts,ST_PointsScored)</f>
        <v>-0.66516816934472556</v>
      </c>
      <c r="D43" s="63">
        <f>_xll.StatCorrelationCoeff( ST_Punts,ST_Yards)</f>
        <v>-0.71784033929300883</v>
      </c>
      <c r="E43" s="63">
        <f>_xll.StatCorrelationCoeff( ST_Punts,ST_Plays)</f>
        <v>-0.25485662869158227</v>
      </c>
      <c r="F43" s="63">
        <f>_xll.StatCorrelationCoeff( ST_Punts,ST_1stDowns)</f>
        <v>-0.7579217129351643</v>
      </c>
      <c r="G43" s="63">
        <f>_xll.StatCorrelationCoeff( ST_Punts,ST_Completions)</f>
        <v>-0.45285083711572405</v>
      </c>
      <c r="H43" s="63">
        <f>_xll.StatCorrelationCoeff( ST_Punts,ST_PassAttempts)</f>
        <v>-0.19530492322684781</v>
      </c>
      <c r="I43" s="63">
        <f>_xll.StatCorrelationCoeff( ST_Punts,ST_PassingYards)</f>
        <v>-0.64590169627377148</v>
      </c>
      <c r="J43" s="63">
        <f>_xll.StatCorrelationCoeff( ST_Punts,ST_PassingTDs)</f>
        <v>-0.57789778944414849</v>
      </c>
      <c r="K43" s="63">
        <f>_xll.StatCorrelationCoeff( ST_Punts,ST_1stDownsPassing)</f>
        <v>-0.66587385454866721</v>
      </c>
      <c r="L43" s="63">
        <f>_xll.StatCorrelationCoeff( ST_Punts,ST_QBRating)</f>
        <v>-0.66809446833851582</v>
      </c>
      <c r="M43" s="63">
        <f>_xll.StatCorrelationCoeff( ST_Punts,ST_SacksAgainst)</f>
        <v>0.40411876853914669</v>
      </c>
      <c r="N43" s="63">
        <f>_xll.StatCorrelationCoeff( ST_Punts,ST_SackyardsAgainst)</f>
        <v>0.40733777946441885</v>
      </c>
      <c r="O43" s="63">
        <f>_xll.StatCorrelationCoeff( ST_Punts,ST_RushingAttempts)</f>
        <v>-8.2958749826841899E-2</v>
      </c>
      <c r="P43" s="63">
        <f>_xll.StatCorrelationCoeff( ST_Punts,ST_RushingYards)</f>
        <v>-0.13498858062126645</v>
      </c>
      <c r="Q43" s="63">
        <f>_xll.StatCorrelationCoeff( ST_Punts,ST_RushingTDs)</f>
        <v>-0.42148815211364932</v>
      </c>
      <c r="R43" s="63">
        <f>_xll.StatCorrelationCoeff( ST_Punts,ST_1stDownsRushing)</f>
        <v>-0.33853409877878432</v>
      </c>
      <c r="S43" s="63">
        <f>_xll.StatCorrelationCoeff( ST_Punts,ST_InterceptionsThrown)</f>
        <v>0.17757184270329571</v>
      </c>
      <c r="T43" s="63">
        <f>_xll.StatCorrelationCoeff( ST_Punts,ST_FumblesLost)</f>
        <v>4.9823266406090069E-2</v>
      </c>
      <c r="U43" s="63">
        <f>_xll.StatCorrelationCoeff( ST_Punts,ST_PuntReturns)</f>
        <v>0.45332132118265861</v>
      </c>
      <c r="V43" s="63">
        <f>_xll.StatCorrelationCoeff( ST_Punts,ST_YardsPuntReturns)</f>
        <v>0.28767546197817517</v>
      </c>
      <c r="W43" s="63">
        <f>_xll.StatCorrelationCoeff( ST_Punts,ST_KickReturns)</f>
        <v>0.12003152224167943</v>
      </c>
      <c r="X43" s="63">
        <f>_xll.StatCorrelationCoeff( ST_Punts,ST_YardsKickReturns)</f>
        <v>2.0237317448306633E-2</v>
      </c>
      <c r="Y43" s="63">
        <f>_xll.StatCorrelationCoeff( ST_Punts,ST_FGA039)</f>
        <v>-0.28277564306275449</v>
      </c>
      <c r="Z43" s="63">
        <f>_xll.StatCorrelationCoeff( ST_Punts,ST_FGM039)</f>
        <v>-0.27175254625646655</v>
      </c>
      <c r="AA43" s="63">
        <f>_xll.StatCorrelationCoeff( ST_Punts,ST_FGA40)</f>
        <v>7.7891144923016534E-2</v>
      </c>
      <c r="AB43" s="63">
        <f>_xll.StatCorrelationCoeff( ST_Punts,ST_FGM40)</f>
        <v>7.7845504829245155E-2</v>
      </c>
      <c r="AC43" s="63">
        <v>1</v>
      </c>
      <c r="AD43" s="63"/>
      <c r="AE43" s="63"/>
      <c r="AF43" s="63"/>
      <c r="AG43" s="63"/>
      <c r="AH43" s="63"/>
      <c r="AI43" s="63"/>
      <c r="AJ43" s="63"/>
      <c r="AK43" s="63"/>
      <c r="AL43" s="63"/>
      <c r="AM43" s="63"/>
      <c r="AN43" s="63"/>
      <c r="AO43" s="63"/>
      <c r="AP43" s="63"/>
      <c r="AQ43" s="63"/>
      <c r="AR43" s="63"/>
      <c r="AS43" s="63"/>
      <c r="AT43" s="63"/>
      <c r="AU43" s="63"/>
    </row>
    <row r="44" spans="1:47" ht="15" customHeight="1" x14ac:dyDescent="0.25">
      <c r="A44" s="60" t="s">
        <v>69</v>
      </c>
      <c r="B44" s="63">
        <f>_xll.StatCorrelationCoeff( ST_YardsAllowed,ST_Wins)</f>
        <v>-0.4682078878372779</v>
      </c>
      <c r="C44" s="63">
        <f>_xll.StatCorrelationCoeff( ST_YardsAllowed,ST_PointsScored)</f>
        <v>-0.18343066954305187</v>
      </c>
      <c r="D44" s="63">
        <f>_xll.StatCorrelationCoeff( ST_YardsAllowed,ST_Yards)</f>
        <v>-0.10243608403898077</v>
      </c>
      <c r="E44" s="63">
        <f>_xll.StatCorrelationCoeff( ST_YardsAllowed,ST_Plays)</f>
        <v>-0.30046538860052158</v>
      </c>
      <c r="F44" s="63">
        <f>_xll.StatCorrelationCoeff( ST_YardsAllowed,ST_1stDowns)</f>
        <v>-0.15679660772155168</v>
      </c>
      <c r="G44" s="63">
        <f>_xll.StatCorrelationCoeff( ST_YardsAllowed,ST_Completions)</f>
        <v>4.4994334249010129E-2</v>
      </c>
      <c r="H44" s="63">
        <f>_xll.StatCorrelationCoeff( ST_YardsAllowed,ST_PassAttempts)</f>
        <v>0.14847251526883737</v>
      </c>
      <c r="I44" s="63">
        <f>_xll.StatCorrelationCoeff( ST_YardsAllowed,ST_PassingYards)</f>
        <v>9.3465157944666241E-3</v>
      </c>
      <c r="J44" s="63">
        <f>_xll.StatCorrelationCoeff( ST_YardsAllowed,ST_PassingTDs)</f>
        <v>-4.4506941903144456E-2</v>
      </c>
      <c r="K44" s="63">
        <f>_xll.StatCorrelationCoeff( ST_YardsAllowed,ST_1stDownsPassing)</f>
        <v>-2.8048128787641874E-2</v>
      </c>
      <c r="L44" s="63">
        <f>_xll.StatCorrelationCoeff( ST_YardsAllowed,ST_QBRating)</f>
        <v>-0.17897530760714872</v>
      </c>
      <c r="M44" s="63">
        <f>_xll.StatCorrelationCoeff( ST_YardsAllowed,ST_SacksAgainst)</f>
        <v>5.8785748148138625E-2</v>
      </c>
      <c r="N44" s="63">
        <f>_xll.StatCorrelationCoeff( ST_YardsAllowed,ST_SackyardsAgainst)</f>
        <v>3.3730688459629933E-2</v>
      </c>
      <c r="O44" s="63">
        <f>_xll.StatCorrelationCoeff( ST_YardsAllowed,ST_RushingAttempts)</f>
        <v>-0.40805572773112808</v>
      </c>
      <c r="P44" s="63">
        <f>_xll.StatCorrelationCoeff( ST_YardsAllowed,ST_RushingYards)</f>
        <v>-0.20180800595659154</v>
      </c>
      <c r="Q44" s="63">
        <f>_xll.StatCorrelationCoeff( ST_YardsAllowed,ST_RushingTDs)</f>
        <v>-0.19152017937734683</v>
      </c>
      <c r="R44" s="63">
        <f>_xll.StatCorrelationCoeff( ST_YardsAllowed,ST_1stDownsRushing)</f>
        <v>-0.2332267502351828</v>
      </c>
      <c r="S44" s="63">
        <f>_xll.StatCorrelationCoeff( ST_YardsAllowed,ST_InterceptionsThrown)</f>
        <v>0.21933152518288682</v>
      </c>
      <c r="T44" s="63">
        <f>_xll.StatCorrelationCoeff( ST_YardsAllowed,ST_FumblesLost)</f>
        <v>-2.5301634579367444E-5</v>
      </c>
      <c r="U44" s="63">
        <f>_xll.StatCorrelationCoeff( ST_YardsAllowed,ST_PuntReturns)</f>
        <v>-0.45780803872772902</v>
      </c>
      <c r="V44" s="63">
        <f>_xll.StatCorrelationCoeff( ST_YardsAllowed,ST_YardsPuntReturns)</f>
        <v>-0.2664857465285787</v>
      </c>
      <c r="W44" s="63">
        <f>_xll.StatCorrelationCoeff( ST_YardsAllowed,ST_KickReturns)</f>
        <v>0.63196450672774207</v>
      </c>
      <c r="X44" s="63">
        <f>_xll.StatCorrelationCoeff( ST_YardsAllowed,ST_YardsKickReturns)</f>
        <v>0.55838665168090684</v>
      </c>
      <c r="Y44" s="63">
        <f>_xll.StatCorrelationCoeff( ST_YardsAllowed,ST_FGA039)</f>
        <v>-0.27417832368881434</v>
      </c>
      <c r="Z44" s="63">
        <f>_xll.StatCorrelationCoeff( ST_YardsAllowed,ST_FGM039)</f>
        <v>-0.25759883687600721</v>
      </c>
      <c r="AA44" s="63">
        <f>_xll.StatCorrelationCoeff( ST_YardsAllowed,ST_FGA40)</f>
        <v>3.5646418537464433E-2</v>
      </c>
      <c r="AB44" s="63">
        <f>_xll.StatCorrelationCoeff( ST_YardsAllowed,ST_FGM40)</f>
        <v>5.6410284847062939E-2</v>
      </c>
      <c r="AC44" s="63">
        <f>_xll.StatCorrelationCoeff( ST_YardsAllowed,ST_Punts)</f>
        <v>2.8008103104910087E-2</v>
      </c>
      <c r="AD44" s="63">
        <f>_xll.StatCorrelationCoeff( ST_YardsAllowed,ST_PuntYards)</f>
        <v>-0.12089771801059299</v>
      </c>
      <c r="AE44" s="63">
        <f>_xll.StatCorrelationCoeff( ST_YardsAllowed,ST_PointsAllowed)</f>
        <v>0.78105111475894673</v>
      </c>
      <c r="AF44" s="63">
        <v>1</v>
      </c>
      <c r="AG44" s="63"/>
      <c r="AH44" s="63"/>
      <c r="AI44" s="63"/>
      <c r="AJ44" s="63"/>
      <c r="AK44" s="63"/>
      <c r="AL44" s="63"/>
      <c r="AM44" s="63"/>
      <c r="AN44" s="63"/>
      <c r="AO44" s="63"/>
      <c r="AP44" s="63"/>
      <c r="AQ44" s="63"/>
      <c r="AR44" s="63"/>
      <c r="AS44" s="63"/>
      <c r="AT44" s="63"/>
      <c r="AU44" s="63"/>
    </row>
    <row r="45" spans="1:47" ht="15" customHeight="1" x14ac:dyDescent="0.25">
      <c r="A45" s="60" t="s">
        <v>81</v>
      </c>
      <c r="B45" s="63">
        <f>_xll.StatCorrelationCoeff( ST_1stDownsRushingAllowed,ST_Wins)</f>
        <v>-0.49741720167088727</v>
      </c>
      <c r="C45" s="63">
        <f>_xll.StatCorrelationCoeff( ST_1stDownsRushingAllowed,ST_PointsScored)</f>
        <v>-0.33874506949663019</v>
      </c>
      <c r="D45" s="63">
        <f>_xll.StatCorrelationCoeff( ST_1stDownsRushingAllowed,ST_Yards)</f>
        <v>-0.30446265347648099</v>
      </c>
      <c r="E45" s="63">
        <f>_xll.StatCorrelationCoeff( ST_1stDownsRushingAllowed,ST_Plays)</f>
        <v>-0.45831252235798486</v>
      </c>
      <c r="F45" s="63">
        <f>_xll.StatCorrelationCoeff( ST_1stDownsRushingAllowed,ST_1stDowns)</f>
        <v>-0.30239525709966414</v>
      </c>
      <c r="G45" s="63">
        <f>_xll.StatCorrelationCoeff( ST_1stDownsRushingAllowed,ST_Completions)</f>
        <v>-0.10291755657690309</v>
      </c>
      <c r="H45" s="63">
        <f>_xll.StatCorrelationCoeff( ST_1stDownsRushingAllowed,ST_PassAttempts)</f>
        <v>-1.9849131316917762E-2</v>
      </c>
      <c r="I45" s="63">
        <f>_xll.StatCorrelationCoeff( ST_1stDownsRushingAllowed,ST_PassingYards)</f>
        <v>-0.14376048823643267</v>
      </c>
      <c r="J45" s="63">
        <f>_xll.StatCorrelationCoeff( ST_1stDownsRushingAllowed,ST_PassingTDs)</f>
        <v>-0.16884565394465953</v>
      </c>
      <c r="K45" s="63">
        <f>_xll.StatCorrelationCoeff( ST_1stDownsRushingAllowed,ST_1stDownsPassing)</f>
        <v>-0.17220381468027587</v>
      </c>
      <c r="L45" s="63">
        <f>_xll.StatCorrelationCoeff( ST_1stDownsRushingAllowed,ST_QBRating)</f>
        <v>-0.25372975625939709</v>
      </c>
      <c r="M45" s="63">
        <f>_xll.StatCorrelationCoeff( ST_1stDownsRushingAllowed,ST_SacksAgainst)</f>
        <v>0.18706042782323665</v>
      </c>
      <c r="N45" s="63">
        <f>_xll.StatCorrelationCoeff( ST_1stDownsRushingAllowed,ST_SackyardsAgainst)</f>
        <v>0.17598320537341913</v>
      </c>
      <c r="O45" s="63">
        <f>_xll.StatCorrelationCoeff( ST_1stDownsRushingAllowed,ST_RushingAttempts)</f>
        <v>-0.38293597293179094</v>
      </c>
      <c r="P45" s="63">
        <f>_xll.StatCorrelationCoeff( ST_1stDownsRushingAllowed,ST_RushingYards)</f>
        <v>-0.291358487990453</v>
      </c>
      <c r="Q45" s="63">
        <f>_xll.StatCorrelationCoeff( ST_1stDownsRushingAllowed,ST_RushingTDs)</f>
        <v>-0.33289155772590145</v>
      </c>
      <c r="R45" s="63">
        <f>_xll.StatCorrelationCoeff( ST_1stDownsRushingAllowed,ST_1stDownsRushing)</f>
        <v>-0.26916203476728157</v>
      </c>
      <c r="S45" s="63">
        <f>_xll.StatCorrelationCoeff( ST_1stDownsRushingAllowed,ST_InterceptionsThrown)</f>
        <v>0.2105271821991922</v>
      </c>
      <c r="T45" s="63">
        <f>_xll.StatCorrelationCoeff( ST_1stDownsRushingAllowed,ST_FumblesLost)</f>
        <v>0.11277760437286889</v>
      </c>
      <c r="U45" s="63">
        <f>_xll.StatCorrelationCoeff( ST_1stDownsRushingAllowed,ST_PuntReturns)</f>
        <v>-0.42188241708879126</v>
      </c>
      <c r="V45" s="63">
        <f>_xll.StatCorrelationCoeff( ST_1stDownsRushingAllowed,ST_YardsPuntReturns)</f>
        <v>-0.25529508235561577</v>
      </c>
      <c r="W45" s="63">
        <f>_xll.StatCorrelationCoeff( ST_1stDownsRushingAllowed,ST_KickReturns)</f>
        <v>0.52681461825094833</v>
      </c>
      <c r="X45" s="63">
        <f>_xll.StatCorrelationCoeff( ST_1stDownsRushingAllowed,ST_YardsKickReturns)</f>
        <v>0.44102447611379475</v>
      </c>
      <c r="Y45" s="63">
        <f>_xll.StatCorrelationCoeff( ST_1stDownsRushingAllowed,ST_FGA039)</f>
        <v>-0.1486068989280124</v>
      </c>
      <c r="Z45" s="63">
        <f>_xll.StatCorrelationCoeff( ST_1stDownsRushingAllowed,ST_FGM039)</f>
        <v>-0.15172032454447373</v>
      </c>
      <c r="AA45" s="63">
        <f>_xll.StatCorrelationCoeff( ST_1stDownsRushingAllowed,ST_FGA40)</f>
        <v>1.7037235335875183E-2</v>
      </c>
      <c r="AB45" s="63">
        <f>_xll.StatCorrelationCoeff( ST_1stDownsRushingAllowed,ST_FGM40)</f>
        <v>6.8650084010625279E-2</v>
      </c>
      <c r="AC45" s="63">
        <f>_xll.StatCorrelationCoeff( ST_1stDownsRushingAllowed,ST_Punts)</f>
        <v>1.3565135215630592E-2</v>
      </c>
      <c r="AD45" s="63">
        <f>_xll.StatCorrelationCoeff( ST_1stDownsRushingAllowed,ST_PuntYards)</f>
        <v>4.5722737191190785E-2</v>
      </c>
      <c r="AE45" s="63">
        <f>_xll.StatCorrelationCoeff( ST_1stDownsRushingAllowed,ST_PointsAllowed)</f>
        <v>0.60431779675978059</v>
      </c>
      <c r="AF45" s="63">
        <f>_xll.StatCorrelationCoeff( ST_1stDownsRushingAllowed,ST_YardsAllowed)</f>
        <v>0.61170560498771354</v>
      </c>
      <c r="AG45" s="63">
        <f>_xll.StatCorrelationCoeff( ST_1stDownsRushingAllowed,ST_PlaysbyOpponent)</f>
        <v>0.38502355640411295</v>
      </c>
      <c r="AH45" s="63">
        <f>_xll.StatCorrelationCoeff( ST_1stDownsRushingAllowed,ST_1stDownsAllowed)</f>
        <v>0.69114014122523926</v>
      </c>
      <c r="AI45" s="63">
        <f>_xll.StatCorrelationCoeff( ST_1stDownsRushingAllowed,ST_CompletionsAllowed)</f>
        <v>-0.12740498070002704</v>
      </c>
      <c r="AJ45" s="63">
        <f>_xll.StatCorrelationCoeff( ST_1stDownsRushingAllowed,ST_PassingAttemptsbyOpponents)</f>
        <v>-0.42626503398798149</v>
      </c>
      <c r="AK45" s="63">
        <f>_xll.StatCorrelationCoeff( ST_1stDownsRushingAllowed,ST_PassingYardsAllowed)</f>
        <v>1.9299166829401634E-2</v>
      </c>
      <c r="AL45" s="63">
        <f>_xll.StatCorrelationCoeff( ST_1stDownsRushingAllowed,ST_PassingTDsAllowed)</f>
        <v>0.12756464584199298</v>
      </c>
      <c r="AM45" s="63">
        <f>_xll.StatCorrelationCoeff( ST_1stDownsRushingAllowed,ST_1stDownsPassingAllowed)</f>
        <v>-6.3360110744094039E-3</v>
      </c>
      <c r="AN45" s="63">
        <f>_xll.StatCorrelationCoeff( ST_1stDownsRushingAllowed,ST_SacksCaused)</f>
        <v>-0.45526999010148256</v>
      </c>
      <c r="AO45" s="63">
        <f>_xll.StatCorrelationCoeff( ST_1stDownsRushingAllowed,ST_SackYardsCaused)</f>
        <v>-0.45036149349110516</v>
      </c>
      <c r="AP45" s="63">
        <f>_xll.StatCorrelationCoeff( ST_1stDownsRushingAllowed,ST_RushingAttempsbyOpponents)</f>
        <v>0.78687209582154893</v>
      </c>
      <c r="AQ45" s="63">
        <f>_xll.StatCorrelationCoeff( ST_1stDownsRushingAllowed,ST_RushingYardsAllowed)</f>
        <v>0.88737145755369806</v>
      </c>
      <c r="AR45" s="63">
        <f>_xll.StatCorrelationCoeff( ST_1stDownsRushingAllowed,ST_RushingTDsAllowed)</f>
        <v>0.72831563151179246</v>
      </c>
      <c r="AS45" s="63">
        <v>1</v>
      </c>
      <c r="AT45" s="63"/>
      <c r="AU45" s="63"/>
    </row>
    <row r="46" spans="1:47" ht="15" customHeight="1" x14ac:dyDescent="0.25">
      <c r="A46" s="60" t="s">
        <v>80</v>
      </c>
      <c r="B46" s="63">
        <f>_xll.StatCorrelationCoeff( ST_RushingTDsAllowed,ST_Wins)</f>
        <v>-0.50093152865764146</v>
      </c>
      <c r="C46" s="63">
        <f>_xll.StatCorrelationCoeff( ST_RushingTDsAllowed,ST_PointsScored)</f>
        <v>-0.28297912857019991</v>
      </c>
      <c r="D46" s="63">
        <f>_xll.StatCorrelationCoeff( ST_RushingTDsAllowed,ST_Yards)</f>
        <v>-0.20789356950994861</v>
      </c>
      <c r="E46" s="63">
        <f>_xll.StatCorrelationCoeff( ST_RushingTDsAllowed,ST_Plays)</f>
        <v>-0.26795125837786771</v>
      </c>
      <c r="F46" s="63">
        <f>_xll.StatCorrelationCoeff( ST_RushingTDsAllowed,ST_1stDowns)</f>
        <v>-0.23258318502114805</v>
      </c>
      <c r="G46" s="63">
        <f>_xll.StatCorrelationCoeff( ST_RushingTDsAllowed,ST_Completions)</f>
        <v>-6.8908509314748081E-2</v>
      </c>
      <c r="H46" s="63">
        <f>_xll.StatCorrelationCoeff( ST_RushingTDsAllowed,ST_PassAttempts)</f>
        <v>4.064036506525448E-2</v>
      </c>
      <c r="I46" s="63">
        <f>_xll.StatCorrelationCoeff( ST_RushingTDsAllowed,ST_PassingYards)</f>
        <v>-0.11470752237141162</v>
      </c>
      <c r="J46" s="63">
        <f>_xll.StatCorrelationCoeff( ST_RushingTDsAllowed,ST_PassingTDs)</f>
        <v>-0.17761494719584059</v>
      </c>
      <c r="K46" s="63">
        <f>_xll.StatCorrelationCoeff( ST_RushingTDsAllowed,ST_1stDownsPassing)</f>
        <v>-0.14465209902249057</v>
      </c>
      <c r="L46" s="63">
        <f>_xll.StatCorrelationCoeff( ST_RushingTDsAllowed,ST_QBRating)</f>
        <v>-0.27688915846291307</v>
      </c>
      <c r="M46" s="63">
        <f>_xll.StatCorrelationCoeff( ST_RushingTDsAllowed,ST_SacksAgainst)</f>
        <v>0.18483342593026497</v>
      </c>
      <c r="N46" s="63">
        <f>_xll.StatCorrelationCoeff( ST_RushingTDsAllowed,ST_SackyardsAgainst)</f>
        <v>0.19838912477359938</v>
      </c>
      <c r="O46" s="63">
        <f>_xll.StatCorrelationCoeff( ST_RushingTDsAllowed,ST_RushingAttempts)</f>
        <v>-0.29547967484448989</v>
      </c>
      <c r="P46" s="63">
        <f>_xll.StatCorrelationCoeff( ST_RushingTDsAllowed,ST_RushingYards)</f>
        <v>-0.16919532929549402</v>
      </c>
      <c r="Q46" s="63">
        <f>_xll.StatCorrelationCoeff( ST_RushingTDsAllowed,ST_RushingTDs)</f>
        <v>-0.23310541606695978</v>
      </c>
      <c r="R46" s="63">
        <f>_xll.StatCorrelationCoeff( ST_RushingTDsAllowed,ST_1stDownsRushing)</f>
        <v>-0.19561634809562403</v>
      </c>
      <c r="S46" s="63">
        <f>_xll.StatCorrelationCoeff( ST_RushingTDsAllowed,ST_InterceptionsThrown)</f>
        <v>0.26575532652310618</v>
      </c>
      <c r="T46" s="63">
        <f>_xll.StatCorrelationCoeff( ST_RushingTDsAllowed,ST_FumblesLost)</f>
        <v>0.22082430991333113</v>
      </c>
      <c r="U46" s="63">
        <f>_xll.StatCorrelationCoeff( ST_RushingTDsAllowed,ST_PuntReturns)</f>
        <v>-0.35990657731237152</v>
      </c>
      <c r="V46" s="63">
        <f>_xll.StatCorrelationCoeff( ST_RushingTDsAllowed,ST_YardsPuntReturns)</f>
        <v>-0.24335982576110332</v>
      </c>
      <c r="W46" s="63">
        <f>_xll.StatCorrelationCoeff( ST_RushingTDsAllowed,ST_KickReturns)</f>
        <v>0.56826989358765523</v>
      </c>
      <c r="X46" s="63">
        <f>_xll.StatCorrelationCoeff( ST_RushingTDsAllowed,ST_YardsKickReturns)</f>
        <v>0.46167533168375446</v>
      </c>
      <c r="Y46" s="63">
        <f>_xll.StatCorrelationCoeff( ST_RushingTDsAllowed,ST_FGA039)</f>
        <v>-0.17187835572571633</v>
      </c>
      <c r="Z46" s="63">
        <f>_xll.StatCorrelationCoeff( ST_RushingTDsAllowed,ST_FGM039)</f>
        <v>-0.15784680433844814</v>
      </c>
      <c r="AA46" s="63">
        <f>_xll.StatCorrelationCoeff( ST_RushingTDsAllowed,ST_FGA40)</f>
        <v>0.16471648051336596</v>
      </c>
      <c r="AB46" s="63">
        <f>_xll.StatCorrelationCoeff( ST_RushingTDsAllowed,ST_FGM40)</f>
        <v>0.22885045273671362</v>
      </c>
      <c r="AC46" s="63">
        <f>_xll.StatCorrelationCoeff( ST_RushingTDsAllowed,ST_Punts)</f>
        <v>3.0704292464144651E-2</v>
      </c>
      <c r="AD46" s="63">
        <f>_xll.StatCorrelationCoeff( ST_RushingTDsAllowed,ST_PuntYards)</f>
        <v>-7.0513650709555086E-4</v>
      </c>
      <c r="AE46" s="63">
        <f>_xll.StatCorrelationCoeff( ST_RushingTDsAllowed,ST_PointsAllowed)</f>
        <v>0.69164777659052112</v>
      </c>
      <c r="AF46" s="63">
        <f>_xll.StatCorrelationCoeff( ST_RushingTDsAllowed,ST_YardsAllowed)</f>
        <v>0.6143106604656865</v>
      </c>
      <c r="AG46" s="63">
        <f>_xll.StatCorrelationCoeff( ST_RushingTDsAllowed,ST_PlaysbyOpponent)</f>
        <v>0.26821181712973319</v>
      </c>
      <c r="AH46" s="63">
        <f>_xll.StatCorrelationCoeff( ST_RushingTDsAllowed,ST_1stDownsAllowed)</f>
        <v>0.60716786474712425</v>
      </c>
      <c r="AI46" s="63">
        <f>_xll.StatCorrelationCoeff( ST_RushingTDsAllowed,ST_CompletionsAllowed)</f>
        <v>1.2187379941529236E-2</v>
      </c>
      <c r="AJ46" s="63">
        <f>_xll.StatCorrelationCoeff( ST_RushingTDsAllowed,ST_PassingAttemptsbyOpponents)</f>
        <v>-0.25947355468353711</v>
      </c>
      <c r="AK46" s="63">
        <f>_xll.StatCorrelationCoeff( ST_RushingTDsAllowed,ST_PassingYardsAllowed)</f>
        <v>0.23363600615282615</v>
      </c>
      <c r="AL46" s="63">
        <f>_xll.StatCorrelationCoeff( ST_RushingTDsAllowed,ST_PassingTDsAllowed)</f>
        <v>4.6028378979549693E-2</v>
      </c>
      <c r="AM46" s="63">
        <f>_xll.StatCorrelationCoeff( ST_RushingTDsAllowed,ST_1stDownsPassingAllowed)</f>
        <v>0.12048140658604588</v>
      </c>
      <c r="AN46" s="63">
        <f>_xll.StatCorrelationCoeff( ST_RushingTDsAllowed,ST_SacksCaused)</f>
        <v>-0.37647866947688507</v>
      </c>
      <c r="AO46" s="63">
        <f>_xll.StatCorrelationCoeff( ST_RushingTDsAllowed,ST_SackYardsCaused)</f>
        <v>-0.37538886866965832</v>
      </c>
      <c r="AP46" s="63">
        <f>_xll.StatCorrelationCoeff( ST_RushingTDsAllowed,ST_RushingAttempsbyOpponents)</f>
        <v>0.52453227037177064</v>
      </c>
      <c r="AQ46" s="63">
        <f>_xll.StatCorrelationCoeff( ST_RushingTDsAllowed,ST_RushingYardsAllowed)</f>
        <v>0.64566601525562772</v>
      </c>
      <c r="AR46" s="63">
        <v>1</v>
      </c>
      <c r="AS46" s="63"/>
      <c r="AT46" s="63"/>
      <c r="AU46" s="63"/>
    </row>
    <row r="47" spans="1:47" ht="15" customHeight="1" x14ac:dyDescent="0.25">
      <c r="A47" s="60" t="s">
        <v>85</v>
      </c>
      <c r="B47" s="63">
        <f>_xll.StatCorrelationCoeff( ST_InterceptionsThrown,ST_Wins)</f>
        <v>-0.52119338806065407</v>
      </c>
      <c r="C47" s="63">
        <f>_xll.StatCorrelationCoeff( ST_InterceptionsThrown,ST_PointsScored)</f>
        <v>-0.38554471400654072</v>
      </c>
      <c r="D47" s="63">
        <f>_xll.StatCorrelationCoeff( ST_InterceptionsThrown,ST_Yards)</f>
        <v>-0.3101806565102917</v>
      </c>
      <c r="E47" s="63">
        <f>_xll.StatCorrelationCoeff( ST_InterceptionsThrown,ST_Plays)</f>
        <v>-2.8335834293702077E-2</v>
      </c>
      <c r="F47" s="63">
        <f>_xll.StatCorrelationCoeff( ST_InterceptionsThrown,ST_1stDowns)</f>
        <v>-0.28382897202342194</v>
      </c>
      <c r="G47" s="63">
        <f>_xll.StatCorrelationCoeff( ST_InterceptionsThrown,ST_Completions)</f>
        <v>5.2237225608493226E-2</v>
      </c>
      <c r="H47" s="63">
        <f>_xll.StatCorrelationCoeff( ST_InterceptionsThrown,ST_PassAttempts)</f>
        <v>0.27937416194917897</v>
      </c>
      <c r="I47" s="63">
        <f>_xll.StatCorrelationCoeff( ST_InterceptionsThrown,ST_PassingYards)</f>
        <v>-9.5508869094618851E-2</v>
      </c>
      <c r="J47" s="63">
        <f>_xll.StatCorrelationCoeff( ST_InterceptionsThrown,ST_PassingTDs)</f>
        <v>-0.1947391599176061</v>
      </c>
      <c r="K47" s="63">
        <f>_xll.StatCorrelationCoeff( ST_InterceptionsThrown,ST_1stDownsPassing)</f>
        <v>-7.3413653090420583E-2</v>
      </c>
      <c r="L47" s="63">
        <f>_xll.StatCorrelationCoeff( ST_InterceptionsThrown,ST_QBRating)</f>
        <v>-0.59014570011158407</v>
      </c>
      <c r="M47" s="63">
        <f>_xll.StatCorrelationCoeff( ST_InterceptionsThrown,ST_SacksAgainst)</f>
        <v>0.23513981141646909</v>
      </c>
      <c r="N47" s="63">
        <f>_xll.StatCorrelationCoeff( ST_InterceptionsThrown,ST_SackyardsAgainst)</f>
        <v>0.26701471258682763</v>
      </c>
      <c r="O47" s="63">
        <f>_xll.StatCorrelationCoeff( ST_InterceptionsThrown,ST_RushingAttempts)</f>
        <v>-0.36888241761638896</v>
      </c>
      <c r="P47" s="63">
        <f>_xll.StatCorrelationCoeff( ST_InterceptionsThrown,ST_RushingYards)</f>
        <v>-0.38845009987885848</v>
      </c>
      <c r="Q47" s="63">
        <f>_xll.StatCorrelationCoeff( ST_InterceptionsThrown,ST_RushingTDs)</f>
        <v>-0.43724617084001183</v>
      </c>
      <c r="R47" s="63">
        <f>_xll.StatCorrelationCoeff( ST_InterceptionsThrown,ST_1stDownsRushing)</f>
        <v>-0.4591279461497017</v>
      </c>
      <c r="S47" s="63">
        <v>1</v>
      </c>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row>
    <row r="48" spans="1:47" ht="15" customHeight="1" x14ac:dyDescent="0.25">
      <c r="A48" s="60" t="s">
        <v>79</v>
      </c>
      <c r="B48" s="63">
        <f>_xll.StatCorrelationCoeff( ST_RushingYardsAllowed,ST_Wins)</f>
        <v>-0.54986058812602989</v>
      </c>
      <c r="C48" s="63">
        <f>_xll.StatCorrelationCoeff( ST_RushingYardsAllowed,ST_PointsScored)</f>
        <v>-0.39927812612346802</v>
      </c>
      <c r="D48" s="63">
        <f>_xll.StatCorrelationCoeff( ST_RushingYardsAllowed,ST_Yards)</f>
        <v>-0.31181404123012124</v>
      </c>
      <c r="E48" s="63">
        <f>_xll.StatCorrelationCoeff( ST_RushingYardsAllowed,ST_Plays)</f>
        <v>-0.36453069571066105</v>
      </c>
      <c r="F48" s="63">
        <f>_xll.StatCorrelationCoeff( ST_RushingYardsAllowed,ST_1stDowns)</f>
        <v>-0.32393242643480252</v>
      </c>
      <c r="G48" s="63">
        <f>_xll.StatCorrelationCoeff( ST_RushingYardsAllowed,ST_Completions)</f>
        <v>-6.1475967668301199E-2</v>
      </c>
      <c r="H48" s="63">
        <f>_xll.StatCorrelationCoeff( ST_RushingYardsAllowed,ST_PassAttempts)</f>
        <v>8.5390273155698457E-2</v>
      </c>
      <c r="I48" s="63">
        <f>_xll.StatCorrelationCoeff( ST_RushingYardsAllowed,ST_PassingYards)</f>
        <v>-0.12465000527507188</v>
      </c>
      <c r="J48" s="63">
        <f>_xll.StatCorrelationCoeff( ST_RushingYardsAllowed,ST_PassingTDs)</f>
        <v>-0.18536540883463912</v>
      </c>
      <c r="K48" s="63">
        <f>_xll.StatCorrelationCoeff( ST_RushingYardsAllowed,ST_1stDownsPassing)</f>
        <v>-0.15123752815752634</v>
      </c>
      <c r="L48" s="63">
        <f>_xll.StatCorrelationCoeff( ST_RushingYardsAllowed,ST_QBRating)</f>
        <v>-0.31684898313473758</v>
      </c>
      <c r="M48" s="63">
        <f>_xll.StatCorrelationCoeff( ST_RushingYardsAllowed,ST_SacksAgainst)</f>
        <v>0.20657583932355592</v>
      </c>
      <c r="N48" s="63">
        <f>_xll.StatCorrelationCoeff( ST_RushingYardsAllowed,ST_SackyardsAgainst)</f>
        <v>0.18853867531683369</v>
      </c>
      <c r="O48" s="63">
        <f>_xll.StatCorrelationCoeff( ST_RushingYardsAllowed,ST_RushingAttempts)</f>
        <v>-0.4241121954249879</v>
      </c>
      <c r="P48" s="63">
        <f>_xll.StatCorrelationCoeff( ST_RushingYardsAllowed,ST_RushingYards)</f>
        <v>-0.33899919235756204</v>
      </c>
      <c r="Q48" s="63">
        <f>_xll.StatCorrelationCoeff( ST_RushingYardsAllowed,ST_RushingTDs)</f>
        <v>-0.39733292534695813</v>
      </c>
      <c r="R48" s="63">
        <f>_xll.StatCorrelationCoeff( ST_RushingYardsAllowed,ST_1stDownsRushing)</f>
        <v>-0.35174325903369924</v>
      </c>
      <c r="S48" s="63">
        <f>_xll.StatCorrelationCoeff( ST_RushingYardsAllowed,ST_InterceptionsThrown)</f>
        <v>0.26535991747878424</v>
      </c>
      <c r="T48" s="63">
        <f>_xll.StatCorrelationCoeff( ST_RushingYardsAllowed,ST_FumblesLost)</f>
        <v>6.3804118163828583E-2</v>
      </c>
      <c r="U48" s="63">
        <f>_xll.StatCorrelationCoeff( ST_RushingYardsAllowed,ST_PuntReturns)</f>
        <v>-0.27722574262462391</v>
      </c>
      <c r="V48" s="63">
        <f>_xll.StatCorrelationCoeff( ST_RushingYardsAllowed,ST_YardsPuntReturns)</f>
        <v>-0.15922836022131462</v>
      </c>
      <c r="W48" s="63">
        <f>_xll.StatCorrelationCoeff( ST_RushingYardsAllowed,ST_KickReturns)</f>
        <v>0.51228262003156821</v>
      </c>
      <c r="X48" s="63">
        <f>_xll.StatCorrelationCoeff( ST_RushingYardsAllowed,ST_YardsKickReturns)</f>
        <v>0.42539460230161968</v>
      </c>
      <c r="Y48" s="63">
        <f>_xll.StatCorrelationCoeff( ST_RushingYardsAllowed,ST_FGA039)</f>
        <v>-0.17410236726912343</v>
      </c>
      <c r="Z48" s="63">
        <f>_xll.StatCorrelationCoeff( ST_RushingYardsAllowed,ST_FGM039)</f>
        <v>-0.17633697753077027</v>
      </c>
      <c r="AA48" s="63">
        <f>_xll.StatCorrelationCoeff( ST_RushingYardsAllowed,ST_FGA40)</f>
        <v>1.9165813302733072E-2</v>
      </c>
      <c r="AB48" s="63">
        <f>_xll.StatCorrelationCoeff( ST_RushingYardsAllowed,ST_FGM40)</f>
        <v>4.8724056606971031E-2</v>
      </c>
      <c r="AC48" s="63">
        <f>_xll.StatCorrelationCoeff( ST_RushingYardsAllowed,ST_Punts)</f>
        <v>0.11139550744432075</v>
      </c>
      <c r="AD48" s="63">
        <f>_xll.StatCorrelationCoeff( ST_RushingYardsAllowed,ST_PuntYards)</f>
        <v>7.8446886859122149E-3</v>
      </c>
      <c r="AE48" s="63">
        <f>_xll.StatCorrelationCoeff( ST_RushingYardsAllowed,ST_PointsAllowed)</f>
        <v>0.60168718411952726</v>
      </c>
      <c r="AF48" s="63">
        <f>_xll.StatCorrelationCoeff( ST_RushingYardsAllowed,ST_YardsAllowed)</f>
        <v>0.63821866078903777</v>
      </c>
      <c r="AG48" s="63">
        <f>_xll.StatCorrelationCoeff( ST_RushingYardsAllowed,ST_PlaysbyOpponent)</f>
        <v>0.35315991046555884</v>
      </c>
      <c r="AH48" s="63">
        <f>_xll.StatCorrelationCoeff( ST_RushingYardsAllowed,ST_1stDownsAllowed)</f>
        <v>0.59667509435232213</v>
      </c>
      <c r="AI48" s="63">
        <f>_xll.StatCorrelationCoeff( ST_RushingYardsAllowed,ST_CompletionsAllowed)</f>
        <v>-0.25626678274559028</v>
      </c>
      <c r="AJ48" s="63">
        <f>_xll.StatCorrelationCoeff( ST_RushingYardsAllowed,ST_PassingAttemptsbyOpponents)</f>
        <v>-0.52893640335937764</v>
      </c>
      <c r="AK48" s="63">
        <f>_xll.StatCorrelationCoeff( ST_RushingYardsAllowed,ST_PassingYardsAllowed)</f>
        <v>-4.4596345628925477E-2</v>
      </c>
      <c r="AL48" s="63">
        <f>_xll.StatCorrelationCoeff( ST_RushingYardsAllowed,ST_PassingTDsAllowed)</f>
        <v>0.17759675845385209</v>
      </c>
      <c r="AM48" s="63">
        <f>_xll.StatCorrelationCoeff( ST_RushingYardsAllowed,ST_1stDownsPassingAllowed)</f>
        <v>-3.1943728785142067E-2</v>
      </c>
      <c r="AN48" s="63">
        <f>_xll.StatCorrelationCoeff( ST_RushingYardsAllowed,ST_SacksCaused)</f>
        <v>-0.42916293370477587</v>
      </c>
      <c r="AO48" s="63">
        <f>_xll.StatCorrelationCoeff( ST_RushingYardsAllowed,ST_SackYardsCaused)</f>
        <v>-0.4389461209275291</v>
      </c>
      <c r="AP48" s="63">
        <f>_xll.StatCorrelationCoeff( ST_RushingYardsAllowed,ST_RushingAttempsbyOpponents)</f>
        <v>0.84794093513789581</v>
      </c>
      <c r="AQ48" s="63">
        <v>1</v>
      </c>
      <c r="AR48" s="63"/>
      <c r="AS48" s="63"/>
      <c r="AT48" s="63"/>
      <c r="AU48" s="63"/>
    </row>
    <row r="49" spans="1:47" ht="15" customHeight="1" x14ac:dyDescent="0.25">
      <c r="A49" s="60" t="s">
        <v>57</v>
      </c>
      <c r="B49" s="63">
        <f>_xll.StatCorrelationCoeff( ST_YardsKickReturns,ST_Wins)</f>
        <v>-0.55001270606431008</v>
      </c>
      <c r="C49" s="63">
        <f>_xll.StatCorrelationCoeff( ST_YardsKickReturns,ST_PointsScored)</f>
        <v>-0.24976355400955014</v>
      </c>
      <c r="D49" s="63">
        <f>_xll.StatCorrelationCoeff( ST_YardsKickReturns,ST_Yards)</f>
        <v>-0.24814312090033896</v>
      </c>
      <c r="E49" s="63">
        <f>_xll.StatCorrelationCoeff( ST_YardsKickReturns,ST_Plays)</f>
        <v>-0.19390389486061085</v>
      </c>
      <c r="F49" s="63">
        <f>_xll.StatCorrelationCoeff( ST_YardsKickReturns,ST_1stDowns)</f>
        <v>-0.21235083695472592</v>
      </c>
      <c r="G49" s="63">
        <f>_xll.StatCorrelationCoeff( ST_YardsKickReturns,ST_Completions)</f>
        <v>2.7533381647019569E-2</v>
      </c>
      <c r="H49" s="63">
        <f>_xll.StatCorrelationCoeff( ST_YardsKickReturns,ST_PassAttempts)</f>
        <v>0.15024289305828434</v>
      </c>
      <c r="I49" s="63">
        <f>_xll.StatCorrelationCoeff( ST_YardsKickReturns,ST_PassingYards)</f>
        <v>-9.0932030491685162E-2</v>
      </c>
      <c r="J49" s="63">
        <f>_xll.StatCorrelationCoeff( ST_YardsKickReturns,ST_PassingTDs)</f>
        <v>-0.14453196921754621</v>
      </c>
      <c r="K49" s="63">
        <f>_xll.StatCorrelationCoeff( ST_YardsKickReturns,ST_1stDownsPassing)</f>
        <v>-6.9990127900078997E-2</v>
      </c>
      <c r="L49" s="63">
        <f>_xll.StatCorrelationCoeff( ST_YardsKickReturns,ST_QBRating)</f>
        <v>-0.29022985339909402</v>
      </c>
      <c r="M49" s="63">
        <f>_xll.StatCorrelationCoeff( ST_YardsKickReturns,ST_SacksAgainst)</f>
        <v>0.29878194184498041</v>
      </c>
      <c r="N49" s="63">
        <f>_xll.StatCorrelationCoeff( ST_YardsKickReturns,ST_SackyardsAgainst)</f>
        <v>0.27599674570624361</v>
      </c>
      <c r="O49" s="63">
        <f>_xll.StatCorrelationCoeff( ST_YardsKickReturns,ST_RushingAttempts)</f>
        <v>-0.37735599730504349</v>
      </c>
      <c r="P49" s="63">
        <f>_xll.StatCorrelationCoeff( ST_YardsKickReturns,ST_RushingYards)</f>
        <v>-0.28463918520105502</v>
      </c>
      <c r="Q49" s="63">
        <f>_xll.StatCorrelationCoeff( ST_YardsKickReturns,ST_RushingTDs)</f>
        <v>-0.25206112659308871</v>
      </c>
      <c r="R49" s="63">
        <f>_xll.StatCorrelationCoeff( ST_YardsKickReturns,ST_1stDownsRushing)</f>
        <v>-0.26210276691245371</v>
      </c>
      <c r="S49" s="63">
        <f>_xll.StatCorrelationCoeff( ST_YardsKickReturns,ST_InterceptionsThrown)</f>
        <v>0.36687921601786611</v>
      </c>
      <c r="T49" s="63">
        <f>_xll.StatCorrelationCoeff( ST_YardsKickReturns,ST_FumblesLost)</f>
        <v>0.19316360491329732</v>
      </c>
      <c r="U49" s="63">
        <f>_xll.StatCorrelationCoeff( ST_YardsKickReturns,ST_PuntReturns)</f>
        <v>-0.26301934197602123</v>
      </c>
      <c r="V49" s="63">
        <f>_xll.StatCorrelationCoeff( ST_YardsKickReturns,ST_YardsPuntReturns)</f>
        <v>-0.14363184824763572</v>
      </c>
      <c r="W49" s="63">
        <f>_xll.StatCorrelationCoeff( ST_YardsKickReturns,ST_KickReturns)</f>
        <v>0.87067523458436169</v>
      </c>
      <c r="X49" s="63">
        <v>1</v>
      </c>
      <c r="Y49" s="63"/>
      <c r="Z49" s="63"/>
      <c r="AA49" s="63"/>
      <c r="AB49" s="63"/>
      <c r="AC49" s="63"/>
      <c r="AD49" s="63"/>
      <c r="AE49" s="63"/>
      <c r="AF49" s="63"/>
      <c r="AG49" s="63"/>
      <c r="AH49" s="63"/>
      <c r="AI49" s="63"/>
      <c r="AJ49" s="63"/>
      <c r="AK49" s="63"/>
      <c r="AL49" s="63"/>
      <c r="AM49" s="63"/>
      <c r="AN49" s="63"/>
      <c r="AO49" s="63"/>
      <c r="AP49" s="63"/>
      <c r="AQ49" s="63"/>
      <c r="AR49" s="63"/>
      <c r="AS49" s="63"/>
      <c r="AT49" s="63"/>
      <c r="AU49" s="63"/>
    </row>
    <row r="50" spans="1:47" ht="15" customHeight="1" x14ac:dyDescent="0.25">
      <c r="A50" s="60" t="s">
        <v>87</v>
      </c>
      <c r="B50" s="63">
        <f>_xll.StatCorrelationCoeff( ST_SackyardsAgainst,ST_Wins)</f>
        <v>-0.55991716443856898</v>
      </c>
      <c r="C50" s="63">
        <f>_xll.StatCorrelationCoeff( ST_SackyardsAgainst,ST_PointsScored)</f>
        <v>-0.54686228740405929</v>
      </c>
      <c r="D50" s="63">
        <f>_xll.StatCorrelationCoeff( ST_SackyardsAgainst,ST_Yards)</f>
        <v>-0.53779115989620474</v>
      </c>
      <c r="E50" s="63">
        <f>_xll.StatCorrelationCoeff( ST_SackyardsAgainst,ST_Plays)</f>
        <v>-0.18241798945139664</v>
      </c>
      <c r="F50" s="63">
        <f>_xll.StatCorrelationCoeff( ST_SackyardsAgainst,ST_1stDowns)</f>
        <v>-0.4592943564559876</v>
      </c>
      <c r="G50" s="63">
        <f>_xll.StatCorrelationCoeff( ST_SackyardsAgainst,ST_Completions)</f>
        <v>-0.19209480945908455</v>
      </c>
      <c r="H50" s="63">
        <f>_xll.StatCorrelationCoeff( ST_SackyardsAgainst,ST_PassAttempts)</f>
        <v>-9.2943609993691348E-2</v>
      </c>
      <c r="I50" s="63">
        <f>_xll.StatCorrelationCoeff( ST_SackyardsAgainst,ST_PassingYards)</f>
        <v>-0.39379735466946675</v>
      </c>
      <c r="J50" s="63">
        <f>_xll.StatCorrelationCoeff( ST_SackyardsAgainst,ST_PassingTDs)</f>
        <v>-0.40645947940302879</v>
      </c>
      <c r="K50" s="63">
        <f>_xll.StatCorrelationCoeff( ST_SackyardsAgainst,ST_1stDownsPassing)</f>
        <v>-0.32350929904435011</v>
      </c>
      <c r="L50" s="63">
        <f>_xll.StatCorrelationCoeff( ST_SackyardsAgainst,ST_QBRating)</f>
        <v>-0.39763717094227496</v>
      </c>
      <c r="M50" s="63">
        <f>_xll.StatCorrelationCoeff( ST_SackyardsAgainst,ST_SacksAgainst)</f>
        <v>0.93808122344681888</v>
      </c>
      <c r="N50" s="63">
        <v>1</v>
      </c>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row>
    <row r="51" spans="1:47" ht="15" customHeight="1" x14ac:dyDescent="0.25">
      <c r="A51" s="60" t="s">
        <v>86</v>
      </c>
      <c r="B51" s="63">
        <f>_xll.StatCorrelationCoeff( ST_SacksAgainst,ST_Wins)</f>
        <v>-0.56699930512654773</v>
      </c>
      <c r="C51" s="63">
        <f>_xll.StatCorrelationCoeff( ST_SacksAgainst,ST_PointsScored)</f>
        <v>-0.57856576913101376</v>
      </c>
      <c r="D51" s="63">
        <f>_xll.StatCorrelationCoeff( ST_SacksAgainst,ST_Yards)</f>
        <v>-0.54610041765484918</v>
      </c>
      <c r="E51" s="63">
        <f>_xll.StatCorrelationCoeff( ST_SacksAgainst,ST_Plays)</f>
        <v>-0.21682538933911705</v>
      </c>
      <c r="F51" s="63">
        <f>_xll.StatCorrelationCoeff( ST_SacksAgainst,ST_1stDowns)</f>
        <v>-0.47467859126173284</v>
      </c>
      <c r="G51" s="63">
        <f>_xll.StatCorrelationCoeff( ST_SacksAgainst,ST_Completions)</f>
        <v>-0.21942903362736232</v>
      </c>
      <c r="H51" s="63">
        <f>_xll.StatCorrelationCoeff( ST_SacksAgainst,ST_PassAttempts)</f>
        <v>-0.11539583698747756</v>
      </c>
      <c r="I51" s="63">
        <f>_xll.StatCorrelationCoeff( ST_SacksAgainst,ST_PassingYards)</f>
        <v>-0.41337558139212344</v>
      </c>
      <c r="J51" s="63">
        <f>_xll.StatCorrelationCoeff( ST_SacksAgainst,ST_PassingTDs)</f>
        <v>-0.44230794278219915</v>
      </c>
      <c r="K51" s="63">
        <f>_xll.StatCorrelationCoeff( ST_SacksAgainst,ST_1stDownsPassing)</f>
        <v>-0.35281136916849692</v>
      </c>
      <c r="L51" s="63">
        <f>_xll.StatCorrelationCoeff( ST_SacksAgainst,ST_QBRating)</f>
        <v>-0.41470096028300346</v>
      </c>
      <c r="M51" s="63">
        <v>1</v>
      </c>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row>
    <row r="52" spans="1:47" ht="15" customHeight="1" x14ac:dyDescent="0.25">
      <c r="A52" s="60" t="s">
        <v>36</v>
      </c>
      <c r="B52" s="66">
        <f>_xll.StatCorrelationCoeff( ST_KickReturns,ST_Wins)</f>
        <v>-0.66049874293019817</v>
      </c>
      <c r="C52" s="63">
        <f>_xll.StatCorrelationCoeff( ST_KickReturns,ST_PointsScored)</f>
        <v>-0.37487602637368139</v>
      </c>
      <c r="D52" s="63">
        <f>_xll.StatCorrelationCoeff( ST_KickReturns,ST_Yards)</f>
        <v>-0.29319551917685771</v>
      </c>
      <c r="E52" s="63">
        <f>_xll.StatCorrelationCoeff( ST_KickReturns,ST_Plays)</f>
        <v>-0.19598087710150636</v>
      </c>
      <c r="F52" s="63">
        <f>_xll.StatCorrelationCoeff( ST_KickReturns,ST_1stDowns)</f>
        <v>-0.2675064496589396</v>
      </c>
      <c r="G52" s="63">
        <f>_xll.StatCorrelationCoeff( ST_KickReturns,ST_Completions)</f>
        <v>5.4935924537262558E-2</v>
      </c>
      <c r="H52" s="63">
        <f>_xll.StatCorrelationCoeff( ST_KickReturns,ST_PassAttempts)</f>
        <v>0.22422855948442119</v>
      </c>
      <c r="I52" s="63">
        <f>_xll.StatCorrelationCoeff( ST_KickReturns,ST_PassingYards)</f>
        <v>-8.1000239604598456E-2</v>
      </c>
      <c r="J52" s="63">
        <f>_xll.StatCorrelationCoeff( ST_KickReturns,ST_PassingTDs)</f>
        <v>-0.19484083031542204</v>
      </c>
      <c r="K52" s="63">
        <f>_xll.StatCorrelationCoeff( ST_KickReturns,ST_1stDownsPassing)</f>
        <v>-7.9225108118116616E-2</v>
      </c>
      <c r="L52" s="63">
        <f>_xll.StatCorrelationCoeff( ST_KickReturns,ST_QBRating)</f>
        <v>-0.37182362639635741</v>
      </c>
      <c r="M52" s="63">
        <f>_xll.StatCorrelationCoeff( ST_KickReturns,ST_SacksAgainst)</f>
        <v>0.36259104705962508</v>
      </c>
      <c r="N52" s="63">
        <f>_xll.StatCorrelationCoeff( ST_KickReturns,ST_SackyardsAgainst)</f>
        <v>0.36468117214743667</v>
      </c>
      <c r="O52" s="63">
        <f>_xll.StatCorrelationCoeff( ST_KickReturns,ST_RushingAttempts)</f>
        <v>-0.47107476792869574</v>
      </c>
      <c r="P52" s="63">
        <f>_xll.StatCorrelationCoeff( ST_KickReturns,ST_RushingYards)</f>
        <v>-0.38386368500723378</v>
      </c>
      <c r="Q52" s="63">
        <f>_xll.StatCorrelationCoeff( ST_KickReturns,ST_RushingTDs)</f>
        <v>-0.37731223264544222</v>
      </c>
      <c r="R52" s="63">
        <f>_xll.StatCorrelationCoeff( ST_KickReturns,ST_1stDownsRushing)</f>
        <v>-0.37092733288450036</v>
      </c>
      <c r="S52" s="63">
        <f>_xll.StatCorrelationCoeff( ST_KickReturns,ST_InterceptionsThrown)</f>
        <v>0.47483307548572151</v>
      </c>
      <c r="T52" s="63">
        <f>_xll.StatCorrelationCoeff( ST_KickReturns,ST_FumblesLost)</f>
        <v>0.2246248641649464</v>
      </c>
      <c r="U52" s="63">
        <f>_xll.StatCorrelationCoeff( ST_KickReturns,ST_PuntReturns)</f>
        <v>-0.27007940757241505</v>
      </c>
      <c r="V52" s="63">
        <f>_xll.StatCorrelationCoeff( ST_KickReturns,ST_YardsPuntReturns)</f>
        <v>-0.18236834722095446</v>
      </c>
      <c r="W52" s="63">
        <v>1</v>
      </c>
      <c r="X52" s="63"/>
      <c r="Y52" s="63"/>
      <c r="Z52" s="63"/>
      <c r="AA52" s="63"/>
      <c r="AB52" s="63"/>
      <c r="AC52" s="63"/>
      <c r="AD52" s="63"/>
      <c r="AE52" s="63"/>
      <c r="AF52" s="63"/>
      <c r="AG52" s="63"/>
      <c r="AH52" s="63"/>
      <c r="AI52" s="63"/>
      <c r="AJ52" s="63"/>
      <c r="AK52" s="63"/>
      <c r="AL52" s="63"/>
      <c r="AM52" s="63"/>
      <c r="AN52" s="63"/>
      <c r="AO52" s="63"/>
      <c r="AP52" s="63"/>
      <c r="AQ52" s="63"/>
      <c r="AR52" s="63"/>
      <c r="AS52" s="63"/>
      <c r="AT52" s="63"/>
      <c r="AU52" s="63"/>
    </row>
    <row r="53" spans="1:47" ht="15" customHeight="1" x14ac:dyDescent="0.25">
      <c r="A53" s="60" t="s">
        <v>78</v>
      </c>
      <c r="B53" s="66">
        <f>_xll.StatCorrelationCoeff( ST_RushingAttempsbyOpponents,ST_Wins)</f>
        <v>-0.68462019194796164</v>
      </c>
      <c r="C53" s="63">
        <f>_xll.StatCorrelationCoeff( ST_RushingAttempsbyOpponents,ST_PointsScored)</f>
        <v>-0.6211269704850344</v>
      </c>
      <c r="D53" s="63">
        <f>_xll.StatCorrelationCoeff( ST_RushingAttempsbyOpponents,ST_Yards)</f>
        <v>-0.57663269224374714</v>
      </c>
      <c r="E53" s="63">
        <f>_xll.StatCorrelationCoeff( ST_RushingAttempsbyOpponents,ST_Plays)</f>
        <v>-0.4923442418426035</v>
      </c>
      <c r="F53" s="63">
        <f>_xll.StatCorrelationCoeff( ST_RushingAttempsbyOpponents,ST_1stDowns)</f>
        <v>-0.56436564734419836</v>
      </c>
      <c r="G53" s="63">
        <f>_xll.StatCorrelationCoeff( ST_RushingAttempsbyOpponents,ST_Completions)</f>
        <v>-0.19441387310542876</v>
      </c>
      <c r="H53" s="63">
        <f>_xll.StatCorrelationCoeff( ST_RushingAttempsbyOpponents,ST_PassAttempts)</f>
        <v>4.1326585807250293E-2</v>
      </c>
      <c r="I53" s="63">
        <f>_xll.StatCorrelationCoeff( ST_RushingAttempsbyOpponents,ST_PassingYards)</f>
        <v>-0.33636961210664312</v>
      </c>
      <c r="J53" s="63">
        <f>_xll.StatCorrelationCoeff( ST_RushingAttempsbyOpponents,ST_PassingTDs)</f>
        <v>-0.38937740580203223</v>
      </c>
      <c r="K53" s="63">
        <f>_xll.StatCorrelationCoeff( ST_RushingAttempsbyOpponents,ST_1stDownsPassing)</f>
        <v>-0.34334396849896498</v>
      </c>
      <c r="L53" s="63">
        <f>_xll.StatCorrelationCoeff( ST_RushingAttempsbyOpponents,ST_QBRating)</f>
        <v>-0.55378611541234679</v>
      </c>
      <c r="M53" s="63">
        <f>_xll.StatCorrelationCoeff( ST_RushingAttempsbyOpponents,ST_SacksAgainst)</f>
        <v>0.36290869548195648</v>
      </c>
      <c r="N53" s="63">
        <f>_xll.StatCorrelationCoeff( ST_RushingAttempsbyOpponents,ST_SackyardsAgainst)</f>
        <v>0.3195427295076298</v>
      </c>
      <c r="O53" s="63">
        <f>_xll.StatCorrelationCoeff( ST_RushingAttempsbyOpponents,ST_RushingAttempts)</f>
        <v>-0.51268960768547478</v>
      </c>
      <c r="P53" s="63">
        <f>_xll.StatCorrelationCoeff( ST_RushingAttempsbyOpponents,ST_RushingYards)</f>
        <v>-0.43655761470821747</v>
      </c>
      <c r="Q53" s="63">
        <f>_xll.StatCorrelationCoeff( ST_RushingAttempsbyOpponents,ST_RushingTDs)</f>
        <v>-0.53764901561283629</v>
      </c>
      <c r="R53" s="63">
        <f>_xll.StatCorrelationCoeff( ST_RushingAttempsbyOpponents,ST_1stDownsRushing)</f>
        <v>-0.50156048168729461</v>
      </c>
      <c r="S53" s="63">
        <f>_xll.StatCorrelationCoeff( ST_RushingAttempsbyOpponents,ST_InterceptionsThrown)</f>
        <v>0.35900050279116152</v>
      </c>
      <c r="T53" s="63">
        <f>_xll.StatCorrelationCoeff( ST_RushingAttempsbyOpponents,ST_FumblesLost)</f>
        <v>0.10660610493982074</v>
      </c>
      <c r="U53" s="63">
        <f>_xll.StatCorrelationCoeff( ST_RushingAttempsbyOpponents,ST_PuntReturns)</f>
        <v>-0.14818173206381638</v>
      </c>
      <c r="V53" s="63">
        <f>_xll.StatCorrelationCoeff( ST_RushingAttempsbyOpponents,ST_YardsPuntReturns)</f>
        <v>-8.652003047600533E-2</v>
      </c>
      <c r="W53" s="63">
        <f>_xll.StatCorrelationCoeff( ST_RushingAttempsbyOpponents,ST_KickReturns)</f>
        <v>0.51055295455853855</v>
      </c>
      <c r="X53" s="63">
        <f>_xll.StatCorrelationCoeff( ST_RushingAttempsbyOpponents,ST_YardsKickReturns)</f>
        <v>0.41517271693769442</v>
      </c>
      <c r="Y53" s="63">
        <f>_xll.StatCorrelationCoeff( ST_RushingAttempsbyOpponents,ST_FGA039)</f>
        <v>-0.1612102272145963</v>
      </c>
      <c r="Z53" s="63">
        <f>_xll.StatCorrelationCoeff( ST_RushingAttempsbyOpponents,ST_FGM039)</f>
        <v>-0.17515383077236857</v>
      </c>
      <c r="AA53" s="63">
        <f>_xll.StatCorrelationCoeff( ST_RushingAttempsbyOpponents,ST_FGA40)</f>
        <v>3.0830156377257738E-3</v>
      </c>
      <c r="AB53" s="63">
        <f>_xll.StatCorrelationCoeff( ST_RushingAttempsbyOpponents,ST_FGM40)</f>
        <v>-4.6966326647425328E-3</v>
      </c>
      <c r="AC53" s="63">
        <f>_xll.StatCorrelationCoeff( ST_RushingAttempsbyOpponents,ST_Punts)</f>
        <v>0.34399316413557463</v>
      </c>
      <c r="AD53" s="63">
        <f>_xll.StatCorrelationCoeff( ST_RushingAttempsbyOpponents,ST_PuntYards)</f>
        <v>0.17912932760050235</v>
      </c>
      <c r="AE53" s="63">
        <f>_xll.StatCorrelationCoeff( ST_RushingAttempsbyOpponents,ST_PointsAllowed)</f>
        <v>0.51346233640447414</v>
      </c>
      <c r="AF53" s="63">
        <f>_xll.StatCorrelationCoeff( ST_RushingAttempsbyOpponents,ST_YardsAllowed)</f>
        <v>0.47000278000817691</v>
      </c>
      <c r="AG53" s="63">
        <f>_xll.StatCorrelationCoeff( ST_RushingAttempsbyOpponents,ST_PlaysbyOpponent)</f>
        <v>0.48526029994175413</v>
      </c>
      <c r="AH53" s="63">
        <f>_xll.StatCorrelationCoeff( ST_RushingAttempsbyOpponents,ST_1stDownsAllowed)</f>
        <v>0.48925754667032711</v>
      </c>
      <c r="AI53" s="63">
        <f>_xll.StatCorrelationCoeff( ST_RushingAttempsbyOpponents,ST_CompletionsAllowed)</f>
        <v>-0.33083042302905091</v>
      </c>
      <c r="AJ53" s="63">
        <f>_xll.StatCorrelationCoeff( ST_RushingAttempsbyOpponents,ST_PassingAttemptsbyOpponents)</f>
        <v>-0.57209904178788895</v>
      </c>
      <c r="AK53" s="63">
        <f>_xll.StatCorrelationCoeff( ST_RushingAttempsbyOpponents,ST_PassingYardsAllowed)</f>
        <v>-0.13016768927849581</v>
      </c>
      <c r="AL53" s="63">
        <f>_xll.StatCorrelationCoeff( ST_RushingAttempsbyOpponents,ST_PassingTDsAllowed)</f>
        <v>9.9827859875282254E-2</v>
      </c>
      <c r="AM53" s="63">
        <f>_xll.StatCorrelationCoeff( ST_RushingAttempsbyOpponents,ST_1stDownsPassingAllowed)</f>
        <v>-0.1266670547403915</v>
      </c>
      <c r="AN53" s="63">
        <f>_xll.StatCorrelationCoeff( ST_RushingAttempsbyOpponents,ST_SacksCaused)</f>
        <v>-0.4383437281856768</v>
      </c>
      <c r="AO53" s="63">
        <f>_xll.StatCorrelationCoeff( ST_RushingAttempsbyOpponents,ST_SackYardsCaused)</f>
        <v>-0.45096745119760612</v>
      </c>
      <c r="AP53" s="63">
        <v>1</v>
      </c>
      <c r="AQ53" s="63"/>
      <c r="AR53" s="63"/>
      <c r="AS53" s="63"/>
      <c r="AT53" s="63"/>
      <c r="AU53" s="63"/>
    </row>
    <row r="54" spans="1:47" ht="15" customHeight="1" x14ac:dyDescent="0.25">
      <c r="A54" s="60" t="s">
        <v>64</v>
      </c>
      <c r="B54" s="66">
        <f>_xll.StatCorrelationCoeff( ST_PointsAllowed,ST_Wins)</f>
        <v>-0.69366362436876139</v>
      </c>
      <c r="C54" s="63">
        <f>_xll.StatCorrelationCoeff( ST_PointsAllowed,ST_PointsScored)</f>
        <v>-0.2979983712653031</v>
      </c>
      <c r="D54" s="63">
        <f>_xll.StatCorrelationCoeff( ST_PointsAllowed,ST_Yards)</f>
        <v>-0.13834820482344179</v>
      </c>
      <c r="E54" s="63">
        <f>_xll.StatCorrelationCoeff( ST_PointsAllowed,ST_Plays)</f>
        <v>-0.15269512395877902</v>
      </c>
      <c r="F54" s="63">
        <f>_xll.StatCorrelationCoeff( ST_PointsAllowed,ST_1stDowns)</f>
        <v>-0.17286793814627346</v>
      </c>
      <c r="G54" s="63">
        <f>_xll.StatCorrelationCoeff( ST_PointsAllowed,ST_Completions)</f>
        <v>0.17696964529014503</v>
      </c>
      <c r="H54" s="63">
        <f>_xll.StatCorrelationCoeff( ST_PointsAllowed,ST_PassAttempts)</f>
        <v>0.33443319357868062</v>
      </c>
      <c r="I54" s="63">
        <f>_xll.StatCorrelationCoeff( ST_PointsAllowed,ST_PassingYards)</f>
        <v>5.9195254324815344E-2</v>
      </c>
      <c r="J54" s="63">
        <f>_xll.StatCorrelationCoeff( ST_PointsAllowed,ST_PassingTDs)</f>
        <v>-0.10789347209773412</v>
      </c>
      <c r="K54" s="63">
        <f>_xll.StatCorrelationCoeff( ST_PointsAllowed,ST_1stDownsPassing)</f>
        <v>4.3350087661330541E-2</v>
      </c>
      <c r="L54" s="63">
        <f>_xll.StatCorrelationCoeff( ST_PointsAllowed,ST_QBRating)</f>
        <v>-0.28751238428185633</v>
      </c>
      <c r="M54" s="63">
        <f>_xll.StatCorrelationCoeff( ST_PointsAllowed,ST_SacksAgainst)</f>
        <v>0.24401779443987853</v>
      </c>
      <c r="N54" s="63">
        <f>_xll.StatCorrelationCoeff( ST_PointsAllowed,ST_SackyardsAgainst)</f>
        <v>0.24446776101548864</v>
      </c>
      <c r="O54" s="63">
        <f>_xll.StatCorrelationCoeff( ST_PointsAllowed,ST_RushingAttempts)</f>
        <v>-0.52766656135743495</v>
      </c>
      <c r="P54" s="63">
        <f>_xll.StatCorrelationCoeff( ST_PointsAllowed,ST_RushingYards)</f>
        <v>-0.35630261688930781</v>
      </c>
      <c r="Q54" s="63">
        <f>_xll.StatCorrelationCoeff( ST_PointsAllowed,ST_RushingTDs)</f>
        <v>-0.32882564339266407</v>
      </c>
      <c r="R54" s="63">
        <f>_xll.StatCorrelationCoeff( ST_PointsAllowed,ST_1stDownsRushing)</f>
        <v>-0.36563378838185145</v>
      </c>
      <c r="S54" s="63">
        <f>_xll.StatCorrelationCoeff( ST_PointsAllowed,ST_InterceptionsThrown)</f>
        <v>0.45162797529002724</v>
      </c>
      <c r="T54" s="63">
        <f>_xll.StatCorrelationCoeff( ST_PointsAllowed,ST_FumblesLost)</f>
        <v>0.22160255481025906</v>
      </c>
      <c r="U54" s="63">
        <f>_xll.StatCorrelationCoeff( ST_PointsAllowed,ST_PuntReturns)</f>
        <v>-0.39830400645220282</v>
      </c>
      <c r="V54" s="63">
        <f>_xll.StatCorrelationCoeff( ST_PointsAllowed,ST_YardsPuntReturns)</f>
        <v>-0.27716349543866958</v>
      </c>
      <c r="W54" s="63">
        <f>_xll.StatCorrelationCoeff( ST_PointsAllowed,ST_KickReturns)</f>
        <v>0.83126169210441492</v>
      </c>
      <c r="X54" s="63">
        <f>_xll.StatCorrelationCoeff( ST_PointsAllowed,ST_YardsKickReturns)</f>
        <v>0.70989920057214462</v>
      </c>
      <c r="Y54" s="63">
        <f>_xll.StatCorrelationCoeff( ST_PointsAllowed,ST_FGA039)</f>
        <v>-0.24085064142017079</v>
      </c>
      <c r="Z54" s="63">
        <f>_xll.StatCorrelationCoeff( ST_PointsAllowed,ST_FGM039)</f>
        <v>-0.22978687088697466</v>
      </c>
      <c r="AA54" s="63">
        <f>_xll.StatCorrelationCoeff( ST_PointsAllowed,ST_FGA40)</f>
        <v>0.11003456270930109</v>
      </c>
      <c r="AB54" s="63">
        <f>_xll.StatCorrelationCoeff( ST_PointsAllowed,ST_FGM40)</f>
        <v>0.13227941357424769</v>
      </c>
      <c r="AC54" s="63">
        <f>_xll.StatCorrelationCoeff( ST_PointsAllowed,ST_Punts)</f>
        <v>9.8420630115990618E-3</v>
      </c>
      <c r="AD54" s="63">
        <f>_xll.StatCorrelationCoeff( ST_PointsAllowed,ST_PuntYards)</f>
        <v>-3.6554081155766118E-3</v>
      </c>
      <c r="AE54" s="63">
        <v>1</v>
      </c>
      <c r="AF54" s="63"/>
      <c r="AG54" s="63"/>
      <c r="AH54" s="63"/>
      <c r="AI54" s="63"/>
      <c r="AJ54" s="63"/>
      <c r="AK54" s="63"/>
      <c r="AL54" s="63"/>
      <c r="AM54" s="63"/>
      <c r="AN54" s="63"/>
      <c r="AO54" s="63"/>
      <c r="AP54" s="63"/>
      <c r="AQ54" s="63"/>
      <c r="AR54" s="63"/>
      <c r="AS54" s="63"/>
      <c r="AT54" s="63"/>
      <c r="AU54" s="63"/>
    </row>
    <row r="55" spans="1:47" ht="15" customHeight="1" x14ac:dyDescent="0.25"/>
    <row r="56" spans="1:47" ht="15" customHeight="1" x14ac:dyDescent="0.25"/>
    <row r="57" spans="1:47" ht="15" customHeight="1" x14ac:dyDescent="0.25"/>
    <row r="58" spans="1:47" ht="15" customHeight="1" x14ac:dyDescent="0.25"/>
    <row r="59" spans="1:47" ht="15" customHeight="1" x14ac:dyDescent="0.25"/>
    <row r="60" spans="1:47" ht="15" customHeight="1" x14ac:dyDescent="0.25"/>
    <row r="61" spans="1:47" ht="15" customHeight="1" x14ac:dyDescent="0.25"/>
    <row r="62" spans="1:47" ht="15" customHeight="1" x14ac:dyDescent="0.25"/>
    <row r="63" spans="1:47" ht="15" customHeight="1" x14ac:dyDescent="0.25"/>
    <row r="64" spans="1:47"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sheetData>
  <sortState ref="A8:AU54">
    <sortCondition descending="1" ref="B9"/>
  </sortState>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195"/>
  <sheetViews>
    <sheetView zoomScaleNormal="100" workbookViewId="0">
      <pane xSplit="20535" ySplit="6105" topLeftCell="AZ174"/>
      <selection pane="topRight" activeCell="R1" sqref="R1"/>
      <selection pane="bottomLeft" activeCell="Q184" sqref="Q184"/>
      <selection pane="bottomRight" activeCell="R20" sqref="R20"/>
    </sheetView>
  </sheetViews>
  <sheetFormatPr defaultRowHeight="15" x14ac:dyDescent="0.25"/>
  <cols>
    <col min="1" max="1" width="21.140625" style="2" bestFit="1" customWidth="1"/>
    <col min="2" max="2" width="7.42578125" style="38" customWidth="1"/>
    <col min="3" max="3" width="10" style="2" customWidth="1"/>
    <col min="4" max="4" width="7.85546875" style="2" customWidth="1"/>
    <col min="5" max="5" width="12.5703125" style="68" bestFit="1" customWidth="1"/>
    <col min="6" max="8" width="7.85546875" style="2" customWidth="1"/>
    <col min="9" max="9" width="13.140625" style="2" bestFit="1" customWidth="1"/>
    <col min="10" max="10" width="8.28515625" style="2" customWidth="1"/>
    <col min="11" max="11" width="8" style="2" customWidth="1"/>
    <col min="12" max="12" width="10" style="2" bestFit="1" customWidth="1"/>
    <col min="13" max="13" width="12.28515625" style="2" customWidth="1"/>
    <col min="14" max="14" width="13.7109375" style="2" bestFit="1" customWidth="1"/>
    <col min="15" max="15" width="12.7109375" style="2" bestFit="1" customWidth="1"/>
    <col min="16" max="16" width="11.140625" style="2" bestFit="1" customWidth="1"/>
    <col min="17" max="17" width="17.28515625" style="2" bestFit="1" customWidth="1"/>
    <col min="18" max="18" width="9.5703125" style="2" bestFit="1" customWidth="1"/>
    <col min="19" max="19" width="12.7109375" style="2" bestFit="1" customWidth="1"/>
    <col min="20" max="20" width="17.28515625" style="2" bestFit="1" customWidth="1"/>
    <col min="21" max="21" width="16.85546875" style="2" bestFit="1" customWidth="1"/>
    <col min="22" max="22" width="13.28515625" style="2" bestFit="1" customWidth="1"/>
    <col min="23" max="23" width="11.5703125" style="2" bestFit="1" customWidth="1"/>
    <col min="24" max="24" width="17.7109375" style="2" bestFit="1" customWidth="1"/>
    <col min="25" max="25" width="20.28515625" style="2" bestFit="1" customWidth="1"/>
    <col min="26" max="26" width="12.5703125" style="2" customWidth="1"/>
    <col min="27" max="27" width="12.42578125" style="2" bestFit="1" customWidth="1"/>
    <col min="28" max="28" width="17.85546875" style="2" bestFit="1" customWidth="1"/>
    <col min="29" max="29" width="11.85546875" style="2" bestFit="1" customWidth="1"/>
    <col min="30" max="30" width="17.28515625" style="2" bestFit="1" customWidth="1"/>
    <col min="31" max="34" width="9.140625" style="2"/>
    <col min="35" max="35" width="7.5703125" style="2" customWidth="1"/>
    <col min="36" max="36" width="10.28515625" style="2" bestFit="1" customWidth="1"/>
    <col min="37" max="37" width="14.5703125" style="2" bestFit="1" customWidth="1"/>
    <col min="38" max="38" width="13.85546875" style="2" bestFit="1" customWidth="1"/>
    <col min="39" max="39" width="17.85546875" style="2" bestFit="1" customWidth="1"/>
    <col min="40" max="40" width="18.140625" style="2" bestFit="1" customWidth="1"/>
    <col min="41" max="41" width="20.42578125" style="2" bestFit="1" customWidth="1"/>
    <col min="42" max="42" width="29.85546875" style="2" bestFit="1" customWidth="1"/>
    <col min="43" max="43" width="20.85546875" style="2" bestFit="1" customWidth="1"/>
    <col min="44" max="44" width="19.28515625" style="2" bestFit="1" customWidth="1"/>
    <col min="45" max="45" width="25.28515625" style="2" bestFit="1" customWidth="1"/>
    <col min="46" max="46" width="12.5703125" style="2" bestFit="1" customWidth="1"/>
    <col min="47" max="47" width="17" style="2" bestFit="1" customWidth="1"/>
    <col min="48" max="48" width="29.42578125" style="2" bestFit="1" customWidth="1"/>
    <col min="49" max="49" width="21.42578125" style="2" bestFit="1" customWidth="1"/>
    <col min="50" max="50" width="19.7109375" style="2" bestFit="1" customWidth="1"/>
    <col min="51" max="51" width="25.85546875" style="2" bestFit="1" customWidth="1"/>
    <col min="52" max="53" width="18.7109375" style="2" customWidth="1"/>
    <col min="54" max="54" width="5.7109375" style="2" bestFit="1" customWidth="1"/>
    <col min="55" max="55" width="5" style="2" customWidth="1"/>
    <col min="56" max="56" width="7.5703125" style="2" bestFit="1" customWidth="1"/>
    <col min="57" max="57" width="6" style="2" customWidth="1"/>
    <col min="58" max="58" width="7" style="2" customWidth="1"/>
    <col min="59" max="16384" width="9.140625" style="2"/>
  </cols>
  <sheetData>
    <row r="1" spans="1:53" s="1" customFormat="1" x14ac:dyDescent="0.25">
      <c r="A1" s="1" t="s">
        <v>93</v>
      </c>
      <c r="B1" s="37"/>
      <c r="C1" s="1" t="s">
        <v>94</v>
      </c>
      <c r="E1" s="67"/>
      <c r="I1" s="1" t="s">
        <v>61</v>
      </c>
      <c r="M1" s="1" t="s">
        <v>62</v>
      </c>
      <c r="U1" s="1" t="s">
        <v>63</v>
      </c>
      <c r="Y1" s="1" t="s">
        <v>91</v>
      </c>
      <c r="AA1" s="1" t="s">
        <v>35</v>
      </c>
      <c r="AC1" s="1" t="s">
        <v>36</v>
      </c>
      <c r="AE1" s="1" t="s">
        <v>55</v>
      </c>
      <c r="AI1" s="1" t="s">
        <v>58</v>
      </c>
      <c r="AK1" s="1" t="s">
        <v>66</v>
      </c>
      <c r="AO1" s="1" t="s">
        <v>67</v>
      </c>
      <c r="AV1" s="1" t="s">
        <v>68</v>
      </c>
      <c r="AZ1" s="1" t="s">
        <v>90</v>
      </c>
    </row>
    <row r="2" spans="1:53" ht="15.75" thickBot="1" x14ac:dyDescent="0.3">
      <c r="A2" s="1"/>
      <c r="B2" s="37"/>
    </row>
    <row r="3" spans="1:53" s="1" customFormat="1" ht="15.75" thickBot="1" x14ac:dyDescent="0.3">
      <c r="A3" s="42" t="s">
        <v>60</v>
      </c>
      <c r="B3" s="79" t="s">
        <v>92</v>
      </c>
      <c r="C3" s="43" t="s">
        <v>83</v>
      </c>
      <c r="D3" s="44" t="s">
        <v>84</v>
      </c>
      <c r="E3" s="69" t="s">
        <v>95</v>
      </c>
      <c r="F3" s="44" t="s">
        <v>0</v>
      </c>
      <c r="G3" s="44" t="s">
        <v>1</v>
      </c>
      <c r="H3" s="45" t="s">
        <v>2</v>
      </c>
      <c r="I3" s="43" t="s">
        <v>65</v>
      </c>
      <c r="J3" s="44" t="s">
        <v>41</v>
      </c>
      <c r="K3" s="44" t="s">
        <v>42</v>
      </c>
      <c r="L3" s="45" t="s">
        <v>43</v>
      </c>
      <c r="M3" s="43" t="s">
        <v>44</v>
      </c>
      <c r="N3" s="44" t="s">
        <v>50</v>
      </c>
      <c r="O3" s="44" t="s">
        <v>47</v>
      </c>
      <c r="P3" s="44" t="s">
        <v>48</v>
      </c>
      <c r="Q3" s="44" t="s">
        <v>46</v>
      </c>
      <c r="R3" s="44" t="s">
        <v>45</v>
      </c>
      <c r="S3" s="44" t="s">
        <v>86</v>
      </c>
      <c r="T3" s="45" t="s">
        <v>87</v>
      </c>
      <c r="U3" s="43" t="s">
        <v>49</v>
      </c>
      <c r="V3" s="44" t="s">
        <v>51</v>
      </c>
      <c r="W3" s="44" t="s">
        <v>52</v>
      </c>
      <c r="X3" s="44" t="s">
        <v>53</v>
      </c>
      <c r="Y3" s="43" t="s">
        <v>85</v>
      </c>
      <c r="Z3" s="45" t="s">
        <v>54</v>
      </c>
      <c r="AA3" s="43" t="s">
        <v>35</v>
      </c>
      <c r="AB3" s="45" t="s">
        <v>56</v>
      </c>
      <c r="AC3" s="43" t="s">
        <v>36</v>
      </c>
      <c r="AD3" s="45" t="s">
        <v>57</v>
      </c>
      <c r="AE3" s="43" t="s">
        <v>37</v>
      </c>
      <c r="AF3" s="44" t="s">
        <v>38</v>
      </c>
      <c r="AG3" s="44" t="s">
        <v>39</v>
      </c>
      <c r="AH3" s="44" t="s">
        <v>40</v>
      </c>
      <c r="AI3" s="43" t="s">
        <v>58</v>
      </c>
      <c r="AJ3" s="45" t="s">
        <v>59</v>
      </c>
      <c r="AK3" s="43" t="s">
        <v>64</v>
      </c>
      <c r="AL3" s="46" t="s">
        <v>69</v>
      </c>
      <c r="AM3" s="46" t="s">
        <v>70</v>
      </c>
      <c r="AN3" s="47" t="s">
        <v>71</v>
      </c>
      <c r="AO3" s="48" t="s">
        <v>72</v>
      </c>
      <c r="AP3" s="46" t="s">
        <v>73</v>
      </c>
      <c r="AQ3" s="46" t="s">
        <v>74</v>
      </c>
      <c r="AR3" s="46" t="s">
        <v>75</v>
      </c>
      <c r="AS3" s="46" t="s">
        <v>77</v>
      </c>
      <c r="AT3" s="46" t="s">
        <v>88</v>
      </c>
      <c r="AU3" s="47" t="s">
        <v>89</v>
      </c>
      <c r="AV3" s="48" t="s">
        <v>78</v>
      </c>
      <c r="AW3" s="46" t="s">
        <v>79</v>
      </c>
      <c r="AX3" s="46" t="s">
        <v>80</v>
      </c>
      <c r="AY3" s="46" t="s">
        <v>81</v>
      </c>
      <c r="AZ3" s="48" t="s">
        <v>76</v>
      </c>
      <c r="BA3" s="47" t="s">
        <v>82</v>
      </c>
    </row>
    <row r="4" spans="1:53" x14ac:dyDescent="0.25">
      <c r="A4" s="11" t="s">
        <v>31</v>
      </c>
      <c r="B4" s="39">
        <v>2009</v>
      </c>
      <c r="C4" s="11">
        <v>10</v>
      </c>
      <c r="D4" s="9">
        <v>6</v>
      </c>
      <c r="E4" s="70" t="s">
        <v>97</v>
      </c>
      <c r="F4" s="9">
        <v>-0.3</v>
      </c>
      <c r="G4" s="9">
        <v>0.1</v>
      </c>
      <c r="H4" s="10">
        <v>-0.4</v>
      </c>
      <c r="I4" s="11">
        <f>IF(Data!I4&lt;=QUARTILE(Data!I$4:I$195,1),1,IF(Data!I4&lt;=MEDIAN(Data!I$4:I$195),2,IF(Data!I4&lt;=QUARTILE(Data!I$4:I$195,3),3,4)))</f>
        <v>3</v>
      </c>
      <c r="J4" s="9">
        <f>IF(Data!J4&lt;=QUARTILE(Data!J$4:J$195,1),1,IF(Data!J4&lt;=MEDIAN(Data!J$4:J$195),2,IF(Data!J4&lt;=QUARTILE(Data!J$4:J$195,3),3,4)))</f>
        <v>3</v>
      </c>
      <c r="K4" s="9">
        <f>IF(Data!K4&lt;=QUARTILE(Data!K$4:K$195,1),1,IF(Data!K4&lt;=MEDIAN(Data!K$4:K$195),2,IF(Data!K4&lt;=QUARTILE(Data!K$4:K$195,3),3,4)))</f>
        <v>2</v>
      </c>
      <c r="L4" s="10">
        <f>IF(Data!L4&lt;=QUARTILE(Data!L$4:L$195,1),1,IF(Data!L4&lt;=MEDIAN(Data!L$4:L$195),2,IF(Data!L4&lt;=QUARTILE(Data!L$4:L$195,3),3,4)))</f>
        <v>3</v>
      </c>
      <c r="M4" s="11">
        <f>IF(Data!M4&lt;=QUARTILE(Data!M$4:M$195,1),1,IF(Data!M4&lt;=MEDIAN(Data!M$4:M$195),2,IF(Data!M4&lt;=QUARTILE(Data!M$4:M$195,3),3,4)))</f>
        <v>4</v>
      </c>
      <c r="N4" s="9">
        <f>IF(Data!N4&lt;=QUARTILE(Data!N$4:N$195,1),1,IF(Data!N4&lt;=MEDIAN(Data!N$4:N$195),2,IF(Data!N4&lt;=QUARTILE(Data!N$4:N$195,3),3,4)))</f>
        <v>4</v>
      </c>
      <c r="O4" s="9">
        <f>IF(Data!O4&lt;=QUARTILE(Data!O$4:O$195,1),1,IF(Data!O4&lt;=MEDIAN(Data!O$4:O$195),2,IF(Data!O4&lt;=QUARTILE(Data!O$4:O$195,3),3,4)))</f>
        <v>4</v>
      </c>
      <c r="P4" s="9">
        <f>IF(Data!P4&lt;=QUARTILE(Data!P$4:P$195,1),1,IF(Data!P4&lt;=MEDIAN(Data!P$4:P$195),2,IF(Data!P4&lt;=QUARTILE(Data!P$4:P$195,3),3,4)))</f>
        <v>4</v>
      </c>
      <c r="Q4" s="9">
        <f>IF(Data!Q4&lt;=QUARTILE(Data!Q$4:Q$195,1),1,IF(Data!Q4&lt;=MEDIAN(Data!Q$4:Q$195),2,IF(Data!Q4&lt;=QUARTILE(Data!Q$4:Q$195,3),3,4)))</f>
        <v>4</v>
      </c>
      <c r="R4" s="9">
        <f>IF(Data!R4&lt;=QUARTILE(Data!R$4:R$195,1),1,IF(Data!R4&lt;=MEDIAN(Data!R$4:R$195),2,IF(Data!R4&lt;=QUARTILE(Data!R$4:R$195,3),3,4)))</f>
        <v>3</v>
      </c>
      <c r="S4" s="9">
        <f>IF(Data!S4&lt;=QUARTILE(Data!S$4:S$195,1),1,IF(Data!S4&lt;=MEDIAN(Data!S$4:S$195),2,IF(Data!S4&lt;=QUARTILE(Data!S$4:S$195,3),3,4)))</f>
        <v>1</v>
      </c>
      <c r="T4" s="10">
        <f>IF(Data!T4&lt;=QUARTILE(Data!T$4:T$195,1),1,IF(Data!T4&lt;=MEDIAN(Data!T$4:T$195),2,IF(Data!T4&lt;=QUARTILE(Data!T$4:T$195,3),3,4)))</f>
        <v>2</v>
      </c>
      <c r="U4" s="11">
        <f>IF(Data!U4&lt;=QUARTILE(Data!U$4:U$195,1),1,IF(Data!U4&lt;=MEDIAN(Data!U$4:U$195),2,IF(Data!U4&lt;=QUARTILE(Data!U$4:U$195,3),3,4)))</f>
        <v>1</v>
      </c>
      <c r="V4" s="9">
        <f>IF(Data!V4&lt;=QUARTILE(Data!V$4:V$195,1),1,IF(Data!V4&lt;=MEDIAN(Data!V$4:V$195),2,IF(Data!V4&lt;=QUARTILE(Data!V$4:V$195,3),3,4)))</f>
        <v>1</v>
      </c>
      <c r="W4" s="9">
        <f>IF(Data!W4&lt;=QUARTILE(Data!W$4:W$195,1),1,IF(Data!W4&lt;=MEDIAN(Data!W$4:W$195),2,IF(Data!W4&lt;=QUARTILE(Data!W$4:W$195,3),3,4)))</f>
        <v>3</v>
      </c>
      <c r="X4" s="9">
        <f>IF(Data!X4&lt;=QUARTILE(Data!X$4:X$195,1),1,IF(Data!X4&lt;=MEDIAN(Data!X$4:X$195),2,IF(Data!X4&lt;=QUARTILE(Data!X$4:X$195,3),3,4)))</f>
        <v>1</v>
      </c>
      <c r="Y4" s="11">
        <f>IF(Data!Y4&lt;=QUARTILE(Data!Y$4:Y$195,1),1,IF(Data!Y4&lt;=MEDIAN(Data!Y$4:Y$195),2,IF(Data!Y4&lt;=QUARTILE(Data!Y$4:Y$195,3),3,4)))</f>
        <v>3</v>
      </c>
      <c r="Z4" s="10">
        <f>IF(Data!Z4&lt;=QUARTILE(Data!Z$4:Z$195,1),1,IF(Data!Z4&lt;=MEDIAN(Data!Z$4:Z$195),2,IF(Data!Z4&lt;=QUARTILE(Data!Z$4:Z$195,3),3,4)))</f>
        <v>4</v>
      </c>
      <c r="AA4" s="11">
        <f>IF(Data!AA4&lt;=QUARTILE(Data!AA$4:AA$195,1),1,IF(Data!AA4&lt;=MEDIAN(Data!AA$4:AA$195),2,IF(Data!AA4&lt;=QUARTILE(Data!AA$4:AA$195,3),3,4)))</f>
        <v>4</v>
      </c>
      <c r="AB4" s="10">
        <f>IF(Data!AB4&lt;=QUARTILE(Data!AB$4:AB$195,1),1,IF(Data!AB4&lt;=MEDIAN(Data!AB$4:AB$195),2,IF(Data!AB4&lt;=QUARTILE(Data!AB$4:AB$195,3),3,4)))</f>
        <v>2</v>
      </c>
      <c r="AC4" s="11">
        <f>IF(Data!AC4&lt;=QUARTILE(Data!AC$4:AC$195,1),1,IF(Data!AC4&lt;=MEDIAN(Data!AC$4:AC$195),2,IF(Data!AC4&lt;=QUARTILE(Data!AC$4:AC$195,3),3,4)))</f>
        <v>1</v>
      </c>
      <c r="AD4" s="10">
        <f>IF(Data!AD4&lt;=QUARTILE(Data!AD$4:AD$195,1),1,IF(Data!AD4&lt;=MEDIAN(Data!AD$4:AD$195),2,IF(Data!AD4&lt;=QUARTILE(Data!AD$4:AD$195,3),3,4)))</f>
        <v>1</v>
      </c>
      <c r="AE4" s="11">
        <f>IF(Data!AE4&lt;=QUARTILE(Data!AE$4:AE$195,1),1,IF(Data!AE4&lt;=MEDIAN(Data!AE$4:AE$195),2,IF(Data!AE4&lt;=QUARTILE(Data!AE$4:AE$195,3),3,4)))</f>
        <v>1</v>
      </c>
      <c r="AF4" s="9">
        <f>IF(Data!AF4&lt;=QUARTILE(Data!AF$4:AF$195,1),1,IF(Data!AF4&lt;=MEDIAN(Data!AF$4:AF$195),2,IF(Data!AF4&lt;=QUARTILE(Data!AF$4:AF$195,3),3,4)))</f>
        <v>1</v>
      </c>
      <c r="AG4" s="9">
        <f>IF(Data!AG4&lt;=QUARTILE(Data!AG$4:AG$195,1),1,IF(Data!AG4&lt;=MEDIAN(Data!AG$4:AG$195),2,IF(Data!AG4&lt;=QUARTILE(Data!AG$4:AG$195,3),3,4)))</f>
        <v>1</v>
      </c>
      <c r="AH4" s="9">
        <f>IF(Data!AH4&lt;=QUARTILE(Data!AH$4:AH$195,1),1,IF(Data!AH4&lt;=MEDIAN(Data!AH$4:AH$195),2,IF(Data!AH4&lt;=QUARTILE(Data!AH$4:AH$195,3),3,4)))</f>
        <v>2</v>
      </c>
      <c r="AI4" s="11">
        <f>IF(Data!AI4&lt;=QUARTILE(Data!AI$4:AI$195,1),1,IF(Data!AI4&lt;=MEDIAN(Data!AI$4:AI$195),2,IF(Data!AI4&lt;=QUARTILE(Data!AI$4:AI$195,3),3,4)))</f>
        <v>4</v>
      </c>
      <c r="AJ4" s="10">
        <f>IF(Data!AJ4&lt;=QUARTILE(Data!AJ$4:AJ$195,1),1,IF(Data!AJ4&lt;=MEDIAN(Data!AJ$4:AJ$195),2,IF(Data!AJ4&lt;=QUARTILE(Data!AJ$4:AJ$195,3),3,4)))</f>
        <v>1</v>
      </c>
      <c r="AK4" s="11">
        <f>IF(Data!AK4&lt;=QUARTILE(Data!AK$4:AK$195,1),1,IF(Data!AK4&lt;=MEDIAN(Data!AK$4:AK$195),2,IF(Data!AK4&lt;=QUARTILE(Data!AK$4:AK$195,3),3,4)))</f>
        <v>2</v>
      </c>
      <c r="AL4" s="9">
        <f>IF(Data!AL4&lt;=QUARTILE(Data!AL$4:AL$195,1),1,IF(Data!AL4&lt;=MEDIAN(Data!AL$4:AL$195),2,IF(Data!AL4&lt;=QUARTILE(Data!AL$4:AL$195,3),3,4)))</f>
        <v>4</v>
      </c>
      <c r="AM4" s="9">
        <f>IF(Data!AM4&lt;=QUARTILE(Data!AM$4:AM$195,1),1,IF(Data!AM4&lt;=MEDIAN(Data!AM$4:AM$195),2,IF(Data!AM4&lt;=QUARTILE(Data!AM$4:AM$195,3),3,4)))</f>
        <v>4</v>
      </c>
      <c r="AN4" s="10">
        <f>IF(Data!AN4&lt;=QUARTILE(Data!AN$4:AN$195,1),1,IF(Data!AN4&lt;=MEDIAN(Data!AN$4:AN$195),2,IF(Data!AN4&lt;=QUARTILE(Data!AN$4:AN$195,3),3,4)))</f>
        <v>2</v>
      </c>
      <c r="AO4" s="11">
        <f>IF(Data!AO4&lt;=QUARTILE(Data!AO$4:AO$195,1),1,IF(Data!AO4&lt;=MEDIAN(Data!AO$4:AO$195),2,IF(Data!AO4&lt;=QUARTILE(Data!AO$4:AO$195,3),3,4)))</f>
        <v>4</v>
      </c>
      <c r="AP4" s="9">
        <f>IF(Data!AP4&lt;=QUARTILE(Data!AP$4:AP$195,1),1,IF(Data!AP4&lt;=MEDIAN(Data!AP$4:AP$195),2,IF(Data!AP4&lt;=QUARTILE(Data!AP$4:AP$195,3),3,4)))</f>
        <v>4</v>
      </c>
      <c r="AQ4" s="9">
        <f>IF(Data!AQ4&lt;=QUARTILE(Data!AQ$4:AQ$195,1),1,IF(Data!AQ4&lt;=MEDIAN(Data!AQ$4:AQ$195),2,IF(Data!AQ4&lt;=QUARTILE(Data!AQ$4:AQ$195,3),3,4)))</f>
        <v>4</v>
      </c>
      <c r="AR4" s="9">
        <f>IF(Data!AR4&lt;=QUARTILE(Data!AR$4:AR$195,1),1,IF(Data!AR4&lt;=MEDIAN(Data!AR$4:AR$195),2,IF(Data!AR4&lt;=QUARTILE(Data!AR$4:AR$195,3),3,4)))</f>
        <v>3</v>
      </c>
      <c r="AS4" s="9">
        <f>IF(Data!AS4&lt;=QUARTILE(Data!AS$4:AS$195,1),1,IF(Data!AS4&lt;=MEDIAN(Data!AS$4:AS$195),2,IF(Data!AS4&lt;=QUARTILE(Data!AS$4:AS$195,3),3,4)))</f>
        <v>4</v>
      </c>
      <c r="AT4" s="9">
        <f>IF(Data!AT4&lt;=QUARTILE(Data!AT$4:AT$195,1),1,IF(Data!AT4&lt;=MEDIAN(Data!AT$4:AT$195),2,IF(Data!AT4&lt;=QUARTILE(Data!AT$4:AT$195,3),3,4)))</f>
        <v>4</v>
      </c>
      <c r="AU4" s="10">
        <f>IF(Data!AU4&lt;=QUARTILE(Data!AU$4:AU$195,1),1,IF(Data!AU4&lt;=MEDIAN(Data!AU$4:AU$195),2,IF(Data!AU4&lt;=QUARTILE(Data!AU$4:AU$195,3),3,4)))</f>
        <v>3</v>
      </c>
      <c r="AV4" s="11">
        <f>IF(Data!AV4&lt;=QUARTILE(Data!AV$4:AV$195,1),1,IF(Data!AV4&lt;=MEDIAN(Data!AV$4:AV$195),2,IF(Data!AV4&lt;=QUARTILE(Data!AV$4:AV$195,3),3,4)))</f>
        <v>1</v>
      </c>
      <c r="AW4" s="9">
        <f>IF(Data!AW4&lt;=QUARTILE(Data!AW$4:AW$195,1),1,IF(Data!AW4&lt;=MEDIAN(Data!AW$4:AW$195),2,IF(Data!AW4&lt;=QUARTILE(Data!AW$4:AW$195,3),3,4)))</f>
        <v>2</v>
      </c>
      <c r="AX4" s="9">
        <f>IF(Data!AX4&lt;=QUARTILE(Data!AX$4:AX$195,1),1,IF(Data!AX4&lt;=MEDIAN(Data!AX$4:AX$195),2,IF(Data!AX4&lt;=QUARTILE(Data!AX$4:AX$195,3),3,4)))</f>
        <v>2</v>
      </c>
      <c r="AY4" s="9">
        <f>IF(Data!AY4&lt;=QUARTILE(Data!AY$4:AY$195,1),1,IF(Data!AY4&lt;=MEDIAN(Data!AY$4:AY$195),2,IF(Data!AY4&lt;=QUARTILE(Data!AY$4:AY$195,3),3,4)))</f>
        <v>1</v>
      </c>
      <c r="AZ4" s="11">
        <f>IF(Data!AZ4&lt;=QUARTILE(Data!AZ$4:AZ$195,1),1,IF(Data!AZ4&lt;=MEDIAN(Data!AZ$4:AZ$195),2,IF(Data!AZ4&lt;=QUARTILE(Data!AZ$4:AZ$195,3),3,4)))</f>
        <v>4</v>
      </c>
      <c r="BA4" s="10">
        <f>IF(Data!BA4&lt;=QUARTILE(Data!BA$4:BA$195,1),1,IF(Data!BA4&lt;=MEDIAN(Data!BA$4:BA$195),2,IF(Data!BA4&lt;=QUARTILE(Data!BA$4:BA$195,3),3,4)))</f>
        <v>1</v>
      </c>
    </row>
    <row r="5" spans="1:53" x14ac:dyDescent="0.25">
      <c r="A5" s="4" t="s">
        <v>28</v>
      </c>
      <c r="B5" s="40">
        <v>2009</v>
      </c>
      <c r="C5" s="4">
        <v>9</v>
      </c>
      <c r="D5" s="3">
        <v>7</v>
      </c>
      <c r="E5" s="71" t="s">
        <v>96</v>
      </c>
      <c r="F5" s="3">
        <v>5</v>
      </c>
      <c r="G5" s="3">
        <v>2.7</v>
      </c>
      <c r="H5" s="5">
        <v>2.2999999999999998</v>
      </c>
      <c r="I5" s="4">
        <f>IF(Data!I5&lt;=QUARTILE(Data!I$4:I$195,1),1,IF(Data!I5&lt;=MEDIAN(Data!I$4:I$195),2,IF(Data!I5&lt;=QUARTILE(Data!I$4:I$195,3),3,4)))</f>
        <v>3</v>
      </c>
      <c r="J5" s="3">
        <f>IF(Data!J5&lt;=QUARTILE(Data!J$4:J$195,1),1,IF(Data!J5&lt;=MEDIAN(Data!J$4:J$195),2,IF(Data!J5&lt;=QUARTILE(Data!J$4:J$195,3),3,4)))</f>
        <v>3</v>
      </c>
      <c r="K5" s="3">
        <f>IF(Data!K5&lt;=QUARTILE(Data!K$4:K$195,1),1,IF(Data!K5&lt;=MEDIAN(Data!K$4:K$195),2,IF(Data!K5&lt;=QUARTILE(Data!K$4:K$195,3),3,4)))</f>
        <v>4</v>
      </c>
      <c r="L5" s="5">
        <f>IF(Data!L5&lt;=QUARTILE(Data!L$4:L$195,1),1,IF(Data!L5&lt;=MEDIAN(Data!L$4:L$195),2,IF(Data!L5&lt;=QUARTILE(Data!L$4:L$195,3),3,4)))</f>
        <v>4</v>
      </c>
      <c r="M5" s="4">
        <f>IF(Data!M5&lt;=QUARTILE(Data!M$4:M$195,1),1,IF(Data!M5&lt;=MEDIAN(Data!M$4:M$195),2,IF(Data!M5&lt;=QUARTILE(Data!M$4:M$195,3),3,4)))</f>
        <v>3</v>
      </c>
      <c r="N5" s="3">
        <f>IF(Data!N5&lt;=QUARTILE(Data!N$4:N$195,1),1,IF(Data!N5&lt;=MEDIAN(Data!N$4:N$195),2,IF(Data!N5&lt;=QUARTILE(Data!N$4:N$195,3),3,4)))</f>
        <v>4</v>
      </c>
      <c r="O5" s="3">
        <f>IF(Data!O5&lt;=QUARTILE(Data!O$4:O$195,1),1,IF(Data!O5&lt;=MEDIAN(Data!O$4:O$195),2,IF(Data!O5&lt;=QUARTILE(Data!O$4:O$195,3),3,4)))</f>
        <v>3</v>
      </c>
      <c r="P5" s="3">
        <f>IF(Data!P5&lt;=QUARTILE(Data!P$4:P$195,1),1,IF(Data!P5&lt;=MEDIAN(Data!P$4:P$195),2,IF(Data!P5&lt;=QUARTILE(Data!P$4:P$195,3),3,4)))</f>
        <v>3</v>
      </c>
      <c r="Q5" s="3">
        <f>IF(Data!Q5&lt;=QUARTILE(Data!Q$4:Q$195,1),1,IF(Data!Q5&lt;=MEDIAN(Data!Q$4:Q$195),2,IF(Data!Q5&lt;=QUARTILE(Data!Q$4:Q$195,3),3,4)))</f>
        <v>3</v>
      </c>
      <c r="R5" s="3">
        <f>IF(Data!R5&lt;=QUARTILE(Data!R$4:R$195,1),1,IF(Data!R5&lt;=MEDIAN(Data!R$4:R$195),2,IF(Data!R5&lt;=QUARTILE(Data!R$4:R$195,3),3,4)))</f>
        <v>2</v>
      </c>
      <c r="S5" s="3">
        <f>IF(Data!S5&lt;=QUARTILE(Data!S$4:S$195,1),1,IF(Data!S5&lt;=MEDIAN(Data!S$4:S$195),2,IF(Data!S5&lt;=QUARTILE(Data!S$4:S$195,3),3,4)))</f>
        <v>1</v>
      </c>
      <c r="T5" s="5">
        <f>IF(Data!T5&lt;=QUARTILE(Data!T$4:T$195,1),1,IF(Data!T5&lt;=MEDIAN(Data!T$4:T$195),2,IF(Data!T5&lt;=QUARTILE(Data!T$4:T$195,3),3,4)))</f>
        <v>1</v>
      </c>
      <c r="U5" s="4">
        <f>IF(Data!U5&lt;=QUARTILE(Data!U$4:U$195,1),1,IF(Data!U5&lt;=MEDIAN(Data!U$4:U$195),2,IF(Data!U5&lt;=QUARTILE(Data!U$4:U$195,3),3,4)))</f>
        <v>3</v>
      </c>
      <c r="V5" s="3">
        <f>IF(Data!V5&lt;=QUARTILE(Data!V$4:V$195,1),1,IF(Data!V5&lt;=MEDIAN(Data!V$4:V$195),2,IF(Data!V5&lt;=QUARTILE(Data!V$4:V$195,3),3,4)))</f>
        <v>3</v>
      </c>
      <c r="W5" s="3">
        <f>IF(Data!W5&lt;=QUARTILE(Data!W$4:W$195,1),1,IF(Data!W5&lt;=MEDIAN(Data!W$4:W$195),2,IF(Data!W5&lt;=QUARTILE(Data!W$4:W$195,3),3,4)))</f>
        <v>3</v>
      </c>
      <c r="X5" s="3">
        <f>IF(Data!X5&lt;=QUARTILE(Data!X$4:X$195,1),1,IF(Data!X5&lt;=MEDIAN(Data!X$4:X$195),2,IF(Data!X5&lt;=QUARTILE(Data!X$4:X$195,3),3,4)))</f>
        <v>3</v>
      </c>
      <c r="Y5" s="4">
        <f>IF(Data!Y5&lt;=QUARTILE(Data!Y$4:Y$195,1),1,IF(Data!Y5&lt;=MEDIAN(Data!Y$4:Y$195),2,IF(Data!Y5&lt;=QUARTILE(Data!Y$4:Y$195,3),3,4)))</f>
        <v>3</v>
      </c>
      <c r="Z5" s="5">
        <f>IF(Data!Z5&lt;=QUARTILE(Data!Z$4:Z$195,1),1,IF(Data!Z5&lt;=MEDIAN(Data!Z$4:Z$195),2,IF(Data!Z5&lt;=QUARTILE(Data!Z$4:Z$195,3),3,4)))</f>
        <v>1</v>
      </c>
      <c r="AA5" s="4">
        <f>IF(Data!AA5&lt;=QUARTILE(Data!AA$4:AA$195,1),1,IF(Data!AA5&lt;=MEDIAN(Data!AA$4:AA$195),2,IF(Data!AA5&lt;=QUARTILE(Data!AA$4:AA$195,3),3,4)))</f>
        <v>1</v>
      </c>
      <c r="AB5" s="5">
        <f>IF(Data!AB5&lt;=QUARTILE(Data!AB$4:AB$195,1),1,IF(Data!AB5&lt;=MEDIAN(Data!AB$4:AB$195),2,IF(Data!AB5&lt;=QUARTILE(Data!AB$4:AB$195,3),3,4)))</f>
        <v>2</v>
      </c>
      <c r="AC5" s="4">
        <f>IF(Data!AC5&lt;=QUARTILE(Data!AC$4:AC$195,1),1,IF(Data!AC5&lt;=MEDIAN(Data!AC$4:AC$195),2,IF(Data!AC5&lt;=QUARTILE(Data!AC$4:AC$195,3),3,4)))</f>
        <v>1</v>
      </c>
      <c r="AD5" s="5">
        <f>IF(Data!AD5&lt;=QUARTILE(Data!AD$4:AD$195,1),1,IF(Data!AD5&lt;=MEDIAN(Data!AD$4:AD$195),2,IF(Data!AD5&lt;=QUARTILE(Data!AD$4:AD$195,3),3,4)))</f>
        <v>2</v>
      </c>
      <c r="AE5" s="4">
        <f>IF(Data!AE5&lt;=QUARTILE(Data!AE$4:AE$195,1),1,IF(Data!AE5&lt;=MEDIAN(Data!AE$4:AE$195),2,IF(Data!AE5&lt;=QUARTILE(Data!AE$4:AE$195,3),3,4)))</f>
        <v>2</v>
      </c>
      <c r="AF5" s="3">
        <f>IF(Data!AF5&lt;=QUARTILE(Data!AF$4:AF$195,1),1,IF(Data!AF5&lt;=MEDIAN(Data!AF$4:AF$195),2,IF(Data!AF5&lt;=QUARTILE(Data!AF$4:AF$195,3),3,4)))</f>
        <v>2</v>
      </c>
      <c r="AG5" s="3">
        <f>IF(Data!AG5&lt;=QUARTILE(Data!AG$4:AG$195,1),1,IF(Data!AG5&lt;=MEDIAN(Data!AG$4:AG$195),2,IF(Data!AG5&lt;=QUARTILE(Data!AG$4:AG$195,3),3,4)))</f>
        <v>2</v>
      </c>
      <c r="AH5" s="3">
        <f>IF(Data!AH5&lt;=QUARTILE(Data!AH$4:AH$195,1),1,IF(Data!AH5&lt;=MEDIAN(Data!AH$4:AH$195),2,IF(Data!AH5&lt;=QUARTILE(Data!AH$4:AH$195,3),3,4)))</f>
        <v>1</v>
      </c>
      <c r="AI5" s="4">
        <f>IF(Data!AI5&lt;=QUARTILE(Data!AI$4:AI$195,1),1,IF(Data!AI5&lt;=MEDIAN(Data!AI$4:AI$195),2,IF(Data!AI5&lt;=QUARTILE(Data!AI$4:AI$195,3),3,4)))</f>
        <v>1</v>
      </c>
      <c r="AJ5" s="5">
        <f>IF(Data!AJ5&lt;=QUARTILE(Data!AJ$4:AJ$195,1),1,IF(Data!AJ5&lt;=MEDIAN(Data!AJ$4:AJ$195),2,IF(Data!AJ5&lt;=QUARTILE(Data!AJ$4:AJ$195,3),3,4)))</f>
        <v>1</v>
      </c>
      <c r="AK5" s="4">
        <f>IF(Data!AK5&lt;=QUARTILE(Data!AK$4:AK$195,1),1,IF(Data!AK5&lt;=MEDIAN(Data!AK$4:AK$195),2,IF(Data!AK5&lt;=QUARTILE(Data!AK$4:AK$195,3),3,4)))</f>
        <v>2</v>
      </c>
      <c r="AL5" s="3">
        <f>IF(Data!AL5&lt;=QUARTILE(Data!AL$4:AL$195,1),1,IF(Data!AL5&lt;=MEDIAN(Data!AL$4:AL$195),2,IF(Data!AL5&lt;=QUARTILE(Data!AL$4:AL$195,3),3,4)))</f>
        <v>4</v>
      </c>
      <c r="AM5" s="3">
        <f>IF(Data!AM5&lt;=QUARTILE(Data!AM$4:AM$195,1),1,IF(Data!AM5&lt;=MEDIAN(Data!AM$4:AM$195),2,IF(Data!AM5&lt;=QUARTILE(Data!AM$4:AM$195,3),3,4)))</f>
        <v>2</v>
      </c>
      <c r="AN5" s="5">
        <f>IF(Data!AN5&lt;=QUARTILE(Data!AN$4:AN$195,1),1,IF(Data!AN5&lt;=MEDIAN(Data!AN$4:AN$195),2,IF(Data!AN5&lt;=QUARTILE(Data!AN$4:AN$195,3),3,4)))</f>
        <v>3</v>
      </c>
      <c r="AO5" s="4">
        <f>IF(Data!AO5&lt;=QUARTILE(Data!AO$4:AO$195,1),1,IF(Data!AO5&lt;=MEDIAN(Data!AO$4:AO$195),2,IF(Data!AO5&lt;=QUARTILE(Data!AO$4:AO$195,3),3,4)))</f>
        <v>4</v>
      </c>
      <c r="AP5" s="3">
        <f>IF(Data!AP5&lt;=QUARTILE(Data!AP$4:AP$195,1),1,IF(Data!AP5&lt;=MEDIAN(Data!AP$4:AP$195),2,IF(Data!AP5&lt;=QUARTILE(Data!AP$4:AP$195,3),3,4)))</f>
        <v>3</v>
      </c>
      <c r="AQ5" s="3">
        <f>IF(Data!AQ5&lt;=QUARTILE(Data!AQ$4:AQ$195,1),1,IF(Data!AQ5&lt;=MEDIAN(Data!AQ$4:AQ$195),2,IF(Data!AQ5&lt;=QUARTILE(Data!AQ$4:AQ$195,3),3,4)))</f>
        <v>4</v>
      </c>
      <c r="AR5" s="3">
        <f>IF(Data!AR5&lt;=QUARTILE(Data!AR$4:AR$195,1),1,IF(Data!AR5&lt;=MEDIAN(Data!AR$4:AR$195),2,IF(Data!AR5&lt;=QUARTILE(Data!AR$4:AR$195,3),3,4)))</f>
        <v>3</v>
      </c>
      <c r="AS5" s="3">
        <f>IF(Data!AS5&lt;=QUARTILE(Data!AS$4:AS$195,1),1,IF(Data!AS5&lt;=MEDIAN(Data!AS$4:AS$195),2,IF(Data!AS5&lt;=QUARTILE(Data!AS$4:AS$195,3),3,4)))</f>
        <v>4</v>
      </c>
      <c r="AT5" s="3">
        <f>IF(Data!AT5&lt;=QUARTILE(Data!AT$4:AT$195,1),1,IF(Data!AT5&lt;=MEDIAN(Data!AT$4:AT$195),2,IF(Data!AT5&lt;=QUARTILE(Data!AT$4:AT$195,3),3,4)))</f>
        <v>1</v>
      </c>
      <c r="AU5" s="5">
        <f>IF(Data!AU5&lt;=QUARTILE(Data!AU$4:AU$195,1),1,IF(Data!AU5&lt;=MEDIAN(Data!AU$4:AU$195),2,IF(Data!AU5&lt;=QUARTILE(Data!AU$4:AU$195,3),3,4)))</f>
        <v>1</v>
      </c>
      <c r="AV5" s="4">
        <f>IF(Data!AV5&lt;=QUARTILE(Data!AV$4:AV$195,1),1,IF(Data!AV5&lt;=MEDIAN(Data!AV$4:AV$195),2,IF(Data!AV5&lt;=QUARTILE(Data!AV$4:AV$195,3),3,4)))</f>
        <v>2</v>
      </c>
      <c r="AW5" s="3">
        <f>IF(Data!AW5&lt;=QUARTILE(Data!AW$4:AW$195,1),1,IF(Data!AW5&lt;=MEDIAN(Data!AW$4:AW$195),2,IF(Data!AW5&lt;=QUARTILE(Data!AW$4:AW$195,3),3,4)))</f>
        <v>2</v>
      </c>
      <c r="AX5" s="3">
        <f>IF(Data!AX5&lt;=QUARTILE(Data!AX$4:AX$195,1),1,IF(Data!AX5&lt;=MEDIAN(Data!AX$4:AX$195),2,IF(Data!AX5&lt;=QUARTILE(Data!AX$4:AX$195,3),3,4)))</f>
        <v>1</v>
      </c>
      <c r="AY5" s="3">
        <f>IF(Data!AY5&lt;=QUARTILE(Data!AY$4:AY$195,1),1,IF(Data!AY5&lt;=MEDIAN(Data!AY$4:AY$195),2,IF(Data!AY5&lt;=QUARTILE(Data!AY$4:AY$195,3),3,4)))</f>
        <v>2</v>
      </c>
      <c r="AZ5" s="4">
        <f>IF(Data!AZ5&lt;=QUARTILE(Data!AZ$4:AZ$195,1),1,IF(Data!AZ5&lt;=MEDIAN(Data!AZ$4:AZ$195),2,IF(Data!AZ5&lt;=QUARTILE(Data!AZ$4:AZ$195,3),3,4)))</f>
        <v>2</v>
      </c>
      <c r="BA5" s="5">
        <f>IF(Data!BA5&lt;=QUARTILE(Data!BA$4:BA$195,1),1,IF(Data!BA5&lt;=MEDIAN(Data!BA$4:BA$195),2,IF(Data!BA5&lt;=QUARTILE(Data!BA$4:BA$195,3),3,4)))</f>
        <v>3</v>
      </c>
    </row>
    <row r="6" spans="1:53" x14ac:dyDescent="0.25">
      <c r="A6" s="4" t="s">
        <v>8</v>
      </c>
      <c r="B6" s="40">
        <v>2009</v>
      </c>
      <c r="C6" s="4">
        <v>9</v>
      </c>
      <c r="D6" s="3">
        <v>7</v>
      </c>
      <c r="E6" s="71" t="s">
        <v>97</v>
      </c>
      <c r="F6" s="3">
        <v>7.5</v>
      </c>
      <c r="G6" s="3">
        <v>2.6</v>
      </c>
      <c r="H6" s="5">
        <v>4.9000000000000004</v>
      </c>
      <c r="I6" s="4">
        <f>IF(Data!I6&lt;=QUARTILE(Data!I$4:I$195,1),1,IF(Data!I6&lt;=MEDIAN(Data!I$4:I$195),2,IF(Data!I6&lt;=QUARTILE(Data!I$4:I$195,3),3,4)))</f>
        <v>3</v>
      </c>
      <c r="J6" s="3">
        <f>IF(Data!J6&lt;=QUARTILE(Data!J$4:J$195,1),1,IF(Data!J6&lt;=MEDIAN(Data!J$4:J$195),2,IF(Data!J6&lt;=QUARTILE(Data!J$4:J$195,3),3,4)))</f>
        <v>3</v>
      </c>
      <c r="K6" s="3">
        <f>IF(Data!K6&lt;=QUARTILE(Data!K$4:K$195,1),1,IF(Data!K6&lt;=MEDIAN(Data!K$4:K$195),2,IF(Data!K6&lt;=QUARTILE(Data!K$4:K$195,3),3,4)))</f>
        <v>3</v>
      </c>
      <c r="L6" s="5">
        <f>IF(Data!L6&lt;=QUARTILE(Data!L$4:L$195,1),1,IF(Data!L6&lt;=MEDIAN(Data!L$4:L$195),2,IF(Data!L6&lt;=QUARTILE(Data!L$4:L$195,3),3,4)))</f>
        <v>3</v>
      </c>
      <c r="M6" s="4">
        <f>IF(Data!M6&lt;=QUARTILE(Data!M$4:M$195,1),1,IF(Data!M6&lt;=MEDIAN(Data!M$4:M$195),2,IF(Data!M6&lt;=QUARTILE(Data!M$4:M$195,3),3,4)))</f>
        <v>3</v>
      </c>
      <c r="N6" s="3">
        <f>IF(Data!N6&lt;=QUARTILE(Data!N$4:N$195,1),1,IF(Data!N6&lt;=MEDIAN(Data!N$4:N$195),2,IF(Data!N6&lt;=QUARTILE(Data!N$4:N$195,3),3,4)))</f>
        <v>2</v>
      </c>
      <c r="O6" s="3">
        <f>IF(Data!O6&lt;=QUARTILE(Data!O$4:O$195,1),1,IF(Data!O6&lt;=MEDIAN(Data!O$4:O$195),2,IF(Data!O6&lt;=QUARTILE(Data!O$4:O$195,3),3,4)))</f>
        <v>3</v>
      </c>
      <c r="P6" s="3">
        <f>IF(Data!P6&lt;=QUARTILE(Data!P$4:P$195,1),1,IF(Data!P6&lt;=MEDIAN(Data!P$4:P$195),2,IF(Data!P6&lt;=QUARTILE(Data!P$4:P$195,3),3,4)))</f>
        <v>2</v>
      </c>
      <c r="Q6" s="3">
        <f>IF(Data!Q6&lt;=QUARTILE(Data!Q$4:Q$195,1),1,IF(Data!Q6&lt;=MEDIAN(Data!Q$4:Q$195),2,IF(Data!Q6&lt;=QUARTILE(Data!Q$4:Q$195,3),3,4)))</f>
        <v>3</v>
      </c>
      <c r="R6" s="3">
        <f>IF(Data!R6&lt;=QUARTILE(Data!R$4:R$195,1),1,IF(Data!R6&lt;=MEDIAN(Data!R$4:R$195),2,IF(Data!R6&lt;=QUARTILE(Data!R$4:R$195,3),3,4)))</f>
        <v>3</v>
      </c>
      <c r="S6" s="3">
        <f>IF(Data!S6&lt;=QUARTILE(Data!S$4:S$195,1),1,IF(Data!S6&lt;=MEDIAN(Data!S$4:S$195),2,IF(Data!S6&lt;=QUARTILE(Data!S$4:S$195,3),3,4)))</f>
        <v>3</v>
      </c>
      <c r="T6" s="5">
        <f>IF(Data!T6&lt;=QUARTILE(Data!T$4:T$195,1),1,IF(Data!T6&lt;=MEDIAN(Data!T$4:T$195),2,IF(Data!T6&lt;=QUARTILE(Data!T$4:T$195,3),3,4)))</f>
        <v>2</v>
      </c>
      <c r="U6" s="4">
        <f>IF(Data!U6&lt;=QUARTILE(Data!U$4:U$195,1),1,IF(Data!U6&lt;=MEDIAN(Data!U$4:U$195),2,IF(Data!U6&lt;=QUARTILE(Data!U$4:U$195,3),3,4)))</f>
        <v>3</v>
      </c>
      <c r="V6" s="3">
        <f>IF(Data!V6&lt;=QUARTILE(Data!V$4:V$195,1),1,IF(Data!V6&lt;=MEDIAN(Data!V$4:V$195),2,IF(Data!V6&lt;=QUARTILE(Data!V$4:V$195,3),3,4)))</f>
        <v>4</v>
      </c>
      <c r="W6" s="3">
        <f>IF(Data!W6&lt;=QUARTILE(Data!W$4:W$195,1),1,IF(Data!W6&lt;=MEDIAN(Data!W$4:W$195),2,IF(Data!W6&lt;=QUARTILE(Data!W$4:W$195,3),3,4)))</f>
        <v>4</v>
      </c>
      <c r="X6" s="3">
        <f>IF(Data!X6&lt;=QUARTILE(Data!X$4:X$195,1),1,IF(Data!X6&lt;=MEDIAN(Data!X$4:X$195),2,IF(Data!X6&lt;=QUARTILE(Data!X$4:X$195,3),3,4)))</f>
        <v>4</v>
      </c>
      <c r="Y6" s="4">
        <f>IF(Data!Y6&lt;=QUARTILE(Data!Y$4:Y$195,1),1,IF(Data!Y6&lt;=MEDIAN(Data!Y$4:Y$195),2,IF(Data!Y6&lt;=QUARTILE(Data!Y$4:Y$195,3),3,4)))</f>
        <v>1</v>
      </c>
      <c r="Z6" s="5">
        <f>IF(Data!Z6&lt;=QUARTILE(Data!Z$4:Z$195,1),1,IF(Data!Z6&lt;=MEDIAN(Data!Z$4:Z$195),2,IF(Data!Z6&lt;=QUARTILE(Data!Z$4:Z$195,3),3,4)))</f>
        <v>1</v>
      </c>
      <c r="AA6" s="4">
        <f>IF(Data!AA6&lt;=QUARTILE(Data!AA$4:AA$195,1),1,IF(Data!AA6&lt;=MEDIAN(Data!AA$4:AA$195),2,IF(Data!AA6&lt;=QUARTILE(Data!AA$4:AA$195,3),3,4)))</f>
        <v>3</v>
      </c>
      <c r="AB6" s="5">
        <f>IF(Data!AB6&lt;=QUARTILE(Data!AB$4:AB$195,1),1,IF(Data!AB6&lt;=MEDIAN(Data!AB$4:AB$195),2,IF(Data!AB6&lt;=QUARTILE(Data!AB$4:AB$195,3),3,4)))</f>
        <v>2</v>
      </c>
      <c r="AC6" s="4">
        <f>IF(Data!AC6&lt;=QUARTILE(Data!AC$4:AC$195,1),1,IF(Data!AC6&lt;=MEDIAN(Data!AC$4:AC$195),2,IF(Data!AC6&lt;=QUARTILE(Data!AC$4:AC$195,3),3,4)))</f>
        <v>2</v>
      </c>
      <c r="AD6" s="5">
        <f>IF(Data!AD6&lt;=QUARTILE(Data!AD$4:AD$195,1),1,IF(Data!AD6&lt;=MEDIAN(Data!AD$4:AD$195),2,IF(Data!AD6&lt;=QUARTILE(Data!AD$4:AD$195,3),3,4)))</f>
        <v>3</v>
      </c>
      <c r="AE6" s="4">
        <f>IF(Data!AE6&lt;=QUARTILE(Data!AE$4:AE$195,1),1,IF(Data!AE6&lt;=MEDIAN(Data!AE$4:AE$195),2,IF(Data!AE6&lt;=QUARTILE(Data!AE$4:AE$195,3),3,4)))</f>
        <v>3</v>
      </c>
      <c r="AF6" s="3">
        <f>IF(Data!AF6&lt;=QUARTILE(Data!AF$4:AF$195,1),1,IF(Data!AF6&lt;=MEDIAN(Data!AF$4:AF$195),2,IF(Data!AF6&lt;=QUARTILE(Data!AF$4:AF$195,3),3,4)))</f>
        <v>2</v>
      </c>
      <c r="AG6" s="3">
        <f>IF(Data!AG6&lt;=QUARTILE(Data!AG$4:AG$195,1),1,IF(Data!AG6&lt;=MEDIAN(Data!AG$4:AG$195),2,IF(Data!AG6&lt;=QUARTILE(Data!AG$4:AG$195,3),3,4)))</f>
        <v>2</v>
      </c>
      <c r="AH6" s="3">
        <f>IF(Data!AH6&lt;=QUARTILE(Data!AH$4:AH$195,1),1,IF(Data!AH6&lt;=MEDIAN(Data!AH$4:AH$195),2,IF(Data!AH6&lt;=QUARTILE(Data!AH$4:AH$195,3),3,4)))</f>
        <v>1</v>
      </c>
      <c r="AI6" s="4">
        <f>IF(Data!AI6&lt;=QUARTILE(Data!AI$4:AI$195,1),1,IF(Data!AI6&lt;=MEDIAN(Data!AI$4:AI$195),2,IF(Data!AI6&lt;=QUARTILE(Data!AI$4:AI$195,3),3,4)))</f>
        <v>2</v>
      </c>
      <c r="AJ6" s="5">
        <f>IF(Data!AJ6&lt;=QUARTILE(Data!AJ$4:AJ$195,1),1,IF(Data!AJ6&lt;=MEDIAN(Data!AJ$4:AJ$195),2,IF(Data!AJ6&lt;=QUARTILE(Data!AJ$4:AJ$195,3),3,4)))</f>
        <v>1</v>
      </c>
      <c r="AK6" s="4">
        <f>IF(Data!AK6&lt;=QUARTILE(Data!AK$4:AK$195,1),1,IF(Data!AK6&lt;=MEDIAN(Data!AK$4:AK$195),2,IF(Data!AK6&lt;=QUARTILE(Data!AK$4:AK$195,3),3,4)))</f>
        <v>1</v>
      </c>
      <c r="AL6" s="3">
        <f>IF(Data!AL6&lt;=QUARTILE(Data!AL$4:AL$195,1),1,IF(Data!AL6&lt;=MEDIAN(Data!AL$4:AL$195),2,IF(Data!AL6&lt;=QUARTILE(Data!AL$4:AL$195,3),3,4)))</f>
        <v>1</v>
      </c>
      <c r="AM6" s="3">
        <f>IF(Data!AM6&lt;=QUARTILE(Data!AM$4:AM$195,1),1,IF(Data!AM6&lt;=MEDIAN(Data!AM$4:AM$195),2,IF(Data!AM6&lt;=QUARTILE(Data!AM$4:AM$195,3),3,4)))</f>
        <v>2</v>
      </c>
      <c r="AN6" s="5">
        <f>IF(Data!AN6&lt;=QUARTILE(Data!AN$4:AN$195,1),1,IF(Data!AN6&lt;=MEDIAN(Data!AN$4:AN$195),2,IF(Data!AN6&lt;=QUARTILE(Data!AN$4:AN$195,3),3,4)))</f>
        <v>2</v>
      </c>
      <c r="AO6" s="4">
        <f>IF(Data!AO6&lt;=QUARTILE(Data!AO$4:AO$195,1),1,IF(Data!AO6&lt;=MEDIAN(Data!AO$4:AO$195),2,IF(Data!AO6&lt;=QUARTILE(Data!AO$4:AO$195,3),3,4)))</f>
        <v>2</v>
      </c>
      <c r="AP6" s="3">
        <f>IF(Data!AP6&lt;=QUARTILE(Data!AP$4:AP$195,1),1,IF(Data!AP6&lt;=MEDIAN(Data!AP$4:AP$195),2,IF(Data!AP6&lt;=QUARTILE(Data!AP$4:AP$195,3),3,4)))</f>
        <v>3</v>
      </c>
      <c r="AQ6" s="3">
        <f>IF(Data!AQ6&lt;=QUARTILE(Data!AQ$4:AQ$195,1),1,IF(Data!AQ6&lt;=MEDIAN(Data!AQ$4:AQ$195),2,IF(Data!AQ6&lt;=QUARTILE(Data!AQ$4:AQ$195,3),3,4)))</f>
        <v>2</v>
      </c>
      <c r="AR6" s="3">
        <f>IF(Data!AR6&lt;=QUARTILE(Data!AR$4:AR$195,1),1,IF(Data!AR6&lt;=MEDIAN(Data!AR$4:AR$195),2,IF(Data!AR6&lt;=QUARTILE(Data!AR$4:AR$195,3),3,4)))</f>
        <v>1</v>
      </c>
      <c r="AS6" s="3">
        <f>IF(Data!AS6&lt;=QUARTILE(Data!AS$4:AS$195,1),1,IF(Data!AS6&lt;=MEDIAN(Data!AS$4:AS$195),2,IF(Data!AS6&lt;=QUARTILE(Data!AS$4:AS$195,3),3,4)))</f>
        <v>2</v>
      </c>
      <c r="AT6" s="3">
        <f>IF(Data!AT6&lt;=QUARTILE(Data!AT$4:AT$195,1),1,IF(Data!AT6&lt;=MEDIAN(Data!AT$4:AT$195),2,IF(Data!AT6&lt;=QUARTILE(Data!AT$4:AT$195,3),3,4)))</f>
        <v>2</v>
      </c>
      <c r="AU6" s="5">
        <f>IF(Data!AU6&lt;=QUARTILE(Data!AU$4:AU$195,1),1,IF(Data!AU6&lt;=MEDIAN(Data!AU$4:AU$195),2,IF(Data!AU6&lt;=QUARTILE(Data!AU$4:AU$195,3),3,4)))</f>
        <v>1</v>
      </c>
      <c r="AV6" s="4">
        <f>IF(Data!AV6&lt;=QUARTILE(Data!AV$4:AV$195,1),1,IF(Data!AV6&lt;=MEDIAN(Data!AV$4:AV$195),2,IF(Data!AV6&lt;=QUARTILE(Data!AV$4:AV$195,3),3,4)))</f>
        <v>2</v>
      </c>
      <c r="AW6" s="3">
        <f>IF(Data!AW6&lt;=QUARTILE(Data!AW$4:AW$195,1),1,IF(Data!AW6&lt;=MEDIAN(Data!AW$4:AW$195),2,IF(Data!AW6&lt;=QUARTILE(Data!AW$4:AW$195,3),3,4)))</f>
        <v>1</v>
      </c>
      <c r="AX6" s="3">
        <f>IF(Data!AX6&lt;=QUARTILE(Data!AX$4:AX$195,1),1,IF(Data!AX6&lt;=MEDIAN(Data!AX$4:AX$195),2,IF(Data!AX6&lt;=QUARTILE(Data!AX$4:AX$195,3),3,4)))</f>
        <v>1</v>
      </c>
      <c r="AY6" s="3">
        <f>IF(Data!AY6&lt;=QUARTILE(Data!AY$4:AY$195,1),1,IF(Data!AY6&lt;=MEDIAN(Data!AY$4:AY$195),2,IF(Data!AY6&lt;=QUARTILE(Data!AY$4:AY$195,3),3,4)))</f>
        <v>1</v>
      </c>
      <c r="AZ6" s="4">
        <f>IF(Data!AZ6&lt;=QUARTILE(Data!AZ$4:AZ$195,1),1,IF(Data!AZ6&lt;=MEDIAN(Data!AZ$4:AZ$195),2,IF(Data!AZ6&lt;=QUARTILE(Data!AZ$4:AZ$195,3),3,4)))</f>
        <v>4</v>
      </c>
      <c r="BA6" s="5">
        <f>IF(Data!BA6&lt;=QUARTILE(Data!BA$4:BA$195,1),1,IF(Data!BA6&lt;=MEDIAN(Data!BA$4:BA$195),2,IF(Data!BA6&lt;=QUARTILE(Data!BA$4:BA$195,3),3,4)))</f>
        <v>2</v>
      </c>
    </row>
    <row r="7" spans="1:53" x14ac:dyDescent="0.25">
      <c r="A7" s="4" t="s">
        <v>6</v>
      </c>
      <c r="B7" s="40">
        <v>2009</v>
      </c>
      <c r="C7" s="4">
        <v>6</v>
      </c>
      <c r="D7" s="3">
        <v>10</v>
      </c>
      <c r="E7" s="71" t="s">
        <v>96</v>
      </c>
      <c r="F7" s="3">
        <v>-1.8</v>
      </c>
      <c r="G7" s="3">
        <v>-4.5</v>
      </c>
      <c r="H7" s="5">
        <v>2.7</v>
      </c>
      <c r="I7" s="4">
        <f>IF(Data!I7&lt;=QUARTILE(Data!I$4:I$195,1),1,IF(Data!I7&lt;=MEDIAN(Data!I$4:I$195),2,IF(Data!I7&lt;=QUARTILE(Data!I$4:I$195,3),3,4)))</f>
        <v>1</v>
      </c>
      <c r="J7" s="3">
        <f>IF(Data!J7&lt;=QUARTILE(Data!J$4:J$195,1),1,IF(Data!J7&lt;=MEDIAN(Data!J$4:J$195),2,IF(Data!J7&lt;=QUARTILE(Data!J$4:J$195,3),3,4)))</f>
        <v>1</v>
      </c>
      <c r="K7" s="3">
        <f>IF(Data!K7&lt;=QUARTILE(Data!K$4:K$195,1),1,IF(Data!K7&lt;=MEDIAN(Data!K$4:K$195),2,IF(Data!K7&lt;=QUARTILE(Data!K$4:K$195,3),3,4)))</f>
        <v>1</v>
      </c>
      <c r="L7" s="5">
        <f>IF(Data!L7&lt;=QUARTILE(Data!L$4:L$195,1),1,IF(Data!L7&lt;=MEDIAN(Data!L$4:L$195),2,IF(Data!L7&lt;=QUARTILE(Data!L$4:L$195,3),3,4)))</f>
        <v>1</v>
      </c>
      <c r="M7" s="4">
        <f>IF(Data!M7&lt;=QUARTILE(Data!M$4:M$195,1),1,IF(Data!M7&lt;=MEDIAN(Data!M$4:M$195),2,IF(Data!M7&lt;=QUARTILE(Data!M$4:M$195,3),3,4)))</f>
        <v>1</v>
      </c>
      <c r="N7" s="3">
        <f>IF(Data!N7&lt;=QUARTILE(Data!N$4:N$195,1),1,IF(Data!N7&lt;=MEDIAN(Data!N$4:N$195),2,IF(Data!N7&lt;=QUARTILE(Data!N$4:N$195,3),3,4)))</f>
        <v>1</v>
      </c>
      <c r="O7" s="3">
        <f>IF(Data!O7&lt;=QUARTILE(Data!O$4:O$195,1),1,IF(Data!O7&lt;=MEDIAN(Data!O$4:O$195),2,IF(Data!O7&lt;=QUARTILE(Data!O$4:O$195,3),3,4)))</f>
        <v>1</v>
      </c>
      <c r="P7" s="3">
        <f>IF(Data!P7&lt;=QUARTILE(Data!P$4:P$195,1),1,IF(Data!P7&lt;=MEDIAN(Data!P$4:P$195),2,IF(Data!P7&lt;=QUARTILE(Data!P$4:P$195,3),3,4)))</f>
        <v>2</v>
      </c>
      <c r="Q7" s="3">
        <f>IF(Data!Q7&lt;=QUARTILE(Data!Q$4:Q$195,1),1,IF(Data!Q7&lt;=MEDIAN(Data!Q$4:Q$195),2,IF(Data!Q7&lt;=QUARTILE(Data!Q$4:Q$195,3),3,4)))</f>
        <v>1</v>
      </c>
      <c r="R7" s="3">
        <f>IF(Data!R7&lt;=QUARTILE(Data!R$4:R$195,1),1,IF(Data!R7&lt;=MEDIAN(Data!R$4:R$195),2,IF(Data!R7&lt;=QUARTILE(Data!R$4:R$195,3),3,4)))</f>
        <v>1</v>
      </c>
      <c r="S7" s="3">
        <f>IF(Data!S7&lt;=QUARTILE(Data!S$4:S$195,1),1,IF(Data!S7&lt;=MEDIAN(Data!S$4:S$195),2,IF(Data!S7&lt;=QUARTILE(Data!S$4:S$195,3),3,4)))</f>
        <v>4</v>
      </c>
      <c r="T7" s="5">
        <f>IF(Data!T7&lt;=QUARTILE(Data!T$4:T$195,1),1,IF(Data!T7&lt;=MEDIAN(Data!T$4:T$195),2,IF(Data!T7&lt;=QUARTILE(Data!T$4:T$195,3),3,4)))</f>
        <v>3</v>
      </c>
      <c r="U7" s="4">
        <f>IF(Data!U7&lt;=QUARTILE(Data!U$4:U$195,1),1,IF(Data!U7&lt;=MEDIAN(Data!U$4:U$195),2,IF(Data!U7&lt;=QUARTILE(Data!U$4:U$195,3),3,4)))</f>
        <v>2</v>
      </c>
      <c r="V7" s="3">
        <f>IF(Data!V7&lt;=QUARTILE(Data!V$4:V$195,1),1,IF(Data!V7&lt;=MEDIAN(Data!V$4:V$195),2,IF(Data!V7&lt;=QUARTILE(Data!V$4:V$195,3),3,4)))</f>
        <v>3</v>
      </c>
      <c r="W7" s="3">
        <f>IF(Data!W7&lt;=QUARTILE(Data!W$4:W$195,1),1,IF(Data!W7&lt;=MEDIAN(Data!W$4:W$195),2,IF(Data!W7&lt;=QUARTILE(Data!W$4:W$195,3),3,4)))</f>
        <v>1</v>
      </c>
      <c r="X7" s="3">
        <f>IF(Data!X7&lt;=QUARTILE(Data!X$4:X$195,1),1,IF(Data!X7&lt;=MEDIAN(Data!X$4:X$195),2,IF(Data!X7&lt;=QUARTILE(Data!X$4:X$195,3),3,4)))</f>
        <v>1</v>
      </c>
      <c r="Y7" s="4">
        <f>IF(Data!Y7&lt;=QUARTILE(Data!Y$4:Y$195,1),1,IF(Data!Y7&lt;=MEDIAN(Data!Y$4:Y$195),2,IF(Data!Y7&lt;=QUARTILE(Data!Y$4:Y$195,3),3,4)))</f>
        <v>3</v>
      </c>
      <c r="Z7" s="5">
        <f>IF(Data!Z7&lt;=QUARTILE(Data!Z$4:Z$195,1),1,IF(Data!Z7&lt;=MEDIAN(Data!Z$4:Z$195),2,IF(Data!Z7&lt;=QUARTILE(Data!Z$4:Z$195,3),3,4)))</f>
        <v>2</v>
      </c>
      <c r="AA7" s="4">
        <f>IF(Data!AA7&lt;=QUARTILE(Data!AA$4:AA$195,1),1,IF(Data!AA7&lt;=MEDIAN(Data!AA$4:AA$195),2,IF(Data!AA7&lt;=QUARTILE(Data!AA$4:AA$195,3),3,4)))</f>
        <v>2</v>
      </c>
      <c r="AB7" s="5">
        <f>IF(Data!AB7&lt;=QUARTILE(Data!AB$4:AB$195,1),1,IF(Data!AB7&lt;=MEDIAN(Data!AB$4:AB$195),2,IF(Data!AB7&lt;=QUARTILE(Data!AB$4:AB$195,3),3,4)))</f>
        <v>1</v>
      </c>
      <c r="AC7" s="4">
        <f>IF(Data!AC7&lt;=QUARTILE(Data!AC$4:AC$195,1),1,IF(Data!AC7&lt;=MEDIAN(Data!AC$4:AC$195),2,IF(Data!AC7&lt;=QUARTILE(Data!AC$4:AC$195,3),3,4)))</f>
        <v>2</v>
      </c>
      <c r="AD7" s="5">
        <f>IF(Data!AD7&lt;=QUARTILE(Data!AD$4:AD$195,1),1,IF(Data!AD7&lt;=MEDIAN(Data!AD$4:AD$195),2,IF(Data!AD7&lt;=QUARTILE(Data!AD$4:AD$195,3),3,4)))</f>
        <v>3</v>
      </c>
      <c r="AE7" s="4">
        <f>IF(Data!AE7&lt;=QUARTILE(Data!AE$4:AE$195,1),1,IF(Data!AE7&lt;=MEDIAN(Data!AE$4:AE$195),2,IF(Data!AE7&lt;=QUARTILE(Data!AE$4:AE$195,3),3,4)))</f>
        <v>4</v>
      </c>
      <c r="AF7" s="3">
        <f>IF(Data!AF7&lt;=QUARTILE(Data!AF$4:AF$195,1),1,IF(Data!AF7&lt;=MEDIAN(Data!AF$4:AF$195),2,IF(Data!AF7&lt;=QUARTILE(Data!AF$4:AF$195,3),3,4)))</f>
        <v>4</v>
      </c>
      <c r="AG7" s="3">
        <f>IF(Data!AG7&lt;=QUARTILE(Data!AG$4:AG$195,1),1,IF(Data!AG7&lt;=MEDIAN(Data!AG$4:AG$195),2,IF(Data!AG7&lt;=QUARTILE(Data!AG$4:AG$195,3),3,4)))</f>
        <v>3</v>
      </c>
      <c r="AH7" s="3">
        <f>IF(Data!AH7&lt;=QUARTILE(Data!AH$4:AH$195,1),1,IF(Data!AH7&lt;=MEDIAN(Data!AH$4:AH$195),2,IF(Data!AH7&lt;=QUARTILE(Data!AH$4:AH$195,3),3,4)))</f>
        <v>2</v>
      </c>
      <c r="AI7" s="4">
        <f>IF(Data!AI7&lt;=QUARTILE(Data!AI$4:AI$195,1),1,IF(Data!AI7&lt;=MEDIAN(Data!AI$4:AI$195),2,IF(Data!AI7&lt;=QUARTILE(Data!AI$4:AI$195,3),3,4)))</f>
        <v>4</v>
      </c>
      <c r="AJ7" s="5">
        <f>IF(Data!AJ7&lt;=QUARTILE(Data!AJ$4:AJ$195,1),1,IF(Data!AJ7&lt;=MEDIAN(Data!AJ$4:AJ$195),2,IF(Data!AJ7&lt;=QUARTILE(Data!AJ$4:AJ$195,3),3,4)))</f>
        <v>1</v>
      </c>
      <c r="AK7" s="4">
        <f>IF(Data!AK7&lt;=QUARTILE(Data!AK$4:AK$195,1),1,IF(Data!AK7&lt;=MEDIAN(Data!AK$4:AK$195),2,IF(Data!AK7&lt;=QUARTILE(Data!AK$4:AK$195,3),3,4)))</f>
        <v>2</v>
      </c>
      <c r="AL7" s="3">
        <f>IF(Data!AL7&lt;=QUARTILE(Data!AL$4:AL$195,1),1,IF(Data!AL7&lt;=MEDIAN(Data!AL$4:AL$195),2,IF(Data!AL7&lt;=QUARTILE(Data!AL$4:AL$195,3),3,4)))</f>
        <v>3</v>
      </c>
      <c r="AM7" s="3">
        <f>IF(Data!AM7&lt;=QUARTILE(Data!AM$4:AM$195,1),1,IF(Data!AM7&lt;=MEDIAN(Data!AM$4:AM$195),2,IF(Data!AM7&lt;=QUARTILE(Data!AM$4:AM$195,3),3,4)))</f>
        <v>4</v>
      </c>
      <c r="AN7" s="5">
        <f>IF(Data!AN7&lt;=QUARTILE(Data!AN$4:AN$195,1),1,IF(Data!AN7&lt;=MEDIAN(Data!AN$4:AN$195),2,IF(Data!AN7&lt;=QUARTILE(Data!AN$4:AN$195,3),3,4)))</f>
        <v>3</v>
      </c>
      <c r="AO7" s="4">
        <f>IF(Data!AO7&lt;=QUARTILE(Data!AO$4:AO$195,1),1,IF(Data!AO7&lt;=MEDIAN(Data!AO$4:AO$195),2,IF(Data!AO7&lt;=QUARTILE(Data!AO$4:AO$195,3),3,4)))</f>
        <v>2</v>
      </c>
      <c r="AP7" s="3">
        <f>IF(Data!AP7&lt;=QUARTILE(Data!AP$4:AP$195,1),1,IF(Data!AP7&lt;=MEDIAN(Data!AP$4:AP$195),2,IF(Data!AP7&lt;=QUARTILE(Data!AP$4:AP$195,3),3,4)))</f>
        <v>2</v>
      </c>
      <c r="AQ7" s="3">
        <f>IF(Data!AQ7&lt;=QUARTILE(Data!AQ$4:AQ$195,1),1,IF(Data!AQ7&lt;=MEDIAN(Data!AQ$4:AQ$195),2,IF(Data!AQ7&lt;=QUARTILE(Data!AQ$4:AQ$195,3),3,4)))</f>
        <v>1</v>
      </c>
      <c r="AR7" s="3">
        <f>IF(Data!AR7&lt;=QUARTILE(Data!AR$4:AR$195,1),1,IF(Data!AR7&lt;=MEDIAN(Data!AR$4:AR$195),2,IF(Data!AR7&lt;=QUARTILE(Data!AR$4:AR$195,3),3,4)))</f>
        <v>1</v>
      </c>
      <c r="AS7" s="3">
        <f>IF(Data!AS7&lt;=QUARTILE(Data!AS$4:AS$195,1),1,IF(Data!AS7&lt;=MEDIAN(Data!AS$4:AS$195),2,IF(Data!AS7&lt;=QUARTILE(Data!AS$4:AS$195,3),3,4)))</f>
        <v>1</v>
      </c>
      <c r="AT7" s="3">
        <f>IF(Data!AT7&lt;=QUARTILE(Data!AT$4:AT$195,1),1,IF(Data!AT7&lt;=MEDIAN(Data!AT$4:AT$195),2,IF(Data!AT7&lt;=QUARTILE(Data!AT$4:AT$195,3),3,4)))</f>
        <v>2</v>
      </c>
      <c r="AU7" s="5">
        <f>IF(Data!AU7&lt;=QUARTILE(Data!AU$4:AU$195,1),1,IF(Data!AU7&lt;=MEDIAN(Data!AU$4:AU$195),2,IF(Data!AU7&lt;=QUARTILE(Data!AU$4:AU$195,3),3,4)))</f>
        <v>1</v>
      </c>
      <c r="AV7" s="4">
        <f>IF(Data!AV7&lt;=QUARTILE(Data!AV$4:AV$195,1),1,IF(Data!AV7&lt;=MEDIAN(Data!AV$4:AV$195),2,IF(Data!AV7&lt;=QUARTILE(Data!AV$4:AV$195,3),3,4)))</f>
        <v>4</v>
      </c>
      <c r="AW7" s="3">
        <f>IF(Data!AW7&lt;=QUARTILE(Data!AW$4:AW$195,1),1,IF(Data!AW7&lt;=MEDIAN(Data!AW$4:AW$195),2,IF(Data!AW7&lt;=QUARTILE(Data!AW$4:AW$195,3),3,4)))</f>
        <v>4</v>
      </c>
      <c r="AX7" s="3">
        <f>IF(Data!AX7&lt;=QUARTILE(Data!AX$4:AX$195,1),1,IF(Data!AX7&lt;=MEDIAN(Data!AX$4:AX$195),2,IF(Data!AX7&lt;=QUARTILE(Data!AX$4:AX$195,3),3,4)))</f>
        <v>4</v>
      </c>
      <c r="AY7" s="3">
        <f>IF(Data!AY7&lt;=QUARTILE(Data!AY$4:AY$195,1),1,IF(Data!AY7&lt;=MEDIAN(Data!AY$4:AY$195),2,IF(Data!AY7&lt;=QUARTILE(Data!AY$4:AY$195,3),3,4)))</f>
        <v>4</v>
      </c>
      <c r="AZ7" s="4">
        <f>IF(Data!AZ7&lt;=QUARTILE(Data!AZ$4:AZ$195,1),1,IF(Data!AZ7&lt;=MEDIAN(Data!AZ$4:AZ$195),2,IF(Data!AZ7&lt;=QUARTILE(Data!AZ$4:AZ$195,3),3,4)))</f>
        <v>4</v>
      </c>
      <c r="BA7" s="5">
        <f>IF(Data!BA7&lt;=QUARTILE(Data!BA$4:BA$195,1),1,IF(Data!BA7&lt;=MEDIAN(Data!BA$4:BA$195),2,IF(Data!BA7&lt;=QUARTILE(Data!BA$4:BA$195,3),3,4)))</f>
        <v>1</v>
      </c>
    </row>
    <row r="8" spans="1:53" x14ac:dyDescent="0.25">
      <c r="A8" s="4" t="s">
        <v>29</v>
      </c>
      <c r="B8" s="40">
        <v>2009</v>
      </c>
      <c r="C8" s="4">
        <v>8</v>
      </c>
      <c r="D8" s="3">
        <v>8</v>
      </c>
      <c r="E8" s="71" t="s">
        <v>96</v>
      </c>
      <c r="F8" s="3">
        <v>3.9</v>
      </c>
      <c r="G8" s="3">
        <v>-0.6</v>
      </c>
      <c r="H8" s="5">
        <v>4.5</v>
      </c>
      <c r="I8" s="4">
        <f>IF(Data!I8&lt;=QUARTILE(Data!I$4:I$195,1),1,IF(Data!I8&lt;=MEDIAN(Data!I$4:I$195),2,IF(Data!I8&lt;=QUARTILE(Data!I$4:I$195,3),3,4)))</f>
        <v>2</v>
      </c>
      <c r="J8" s="3">
        <f>IF(Data!J8&lt;=QUARTILE(Data!J$4:J$195,1),1,IF(Data!J8&lt;=MEDIAN(Data!J$4:J$195),2,IF(Data!J8&lt;=QUARTILE(Data!J$4:J$195,3),3,4)))</f>
        <v>3</v>
      </c>
      <c r="K8" s="3">
        <f>IF(Data!K8&lt;=QUARTILE(Data!K$4:K$195,1),1,IF(Data!K8&lt;=MEDIAN(Data!K$4:K$195),2,IF(Data!K8&lt;=QUARTILE(Data!K$4:K$195,3),3,4)))</f>
        <v>3</v>
      </c>
      <c r="L8" s="5">
        <f>IF(Data!L8&lt;=QUARTILE(Data!L$4:L$195,1),1,IF(Data!L8&lt;=MEDIAN(Data!L$4:L$195),2,IF(Data!L8&lt;=QUARTILE(Data!L$4:L$195,3),3,4)))</f>
        <v>2</v>
      </c>
      <c r="M8" s="4">
        <f>IF(Data!M8&lt;=QUARTILE(Data!M$4:M$195,1),1,IF(Data!M8&lt;=MEDIAN(Data!M$4:M$195),2,IF(Data!M8&lt;=QUARTILE(Data!M$4:M$195,3),3,4)))</f>
        <v>1</v>
      </c>
      <c r="N8" s="3">
        <f>IF(Data!N8&lt;=QUARTILE(Data!N$4:N$195,1),1,IF(Data!N8&lt;=MEDIAN(Data!N$4:N$195),2,IF(Data!N8&lt;=QUARTILE(Data!N$4:N$195,3),3,4)))</f>
        <v>1</v>
      </c>
      <c r="O8" s="3">
        <f>IF(Data!O8&lt;=QUARTILE(Data!O$4:O$195,1),1,IF(Data!O8&lt;=MEDIAN(Data!O$4:O$195),2,IF(Data!O8&lt;=QUARTILE(Data!O$4:O$195,3),3,4)))</f>
        <v>1</v>
      </c>
      <c r="P8" s="3">
        <f>IF(Data!P8&lt;=QUARTILE(Data!P$4:P$195,1),1,IF(Data!P8&lt;=MEDIAN(Data!P$4:P$195),2,IF(Data!P8&lt;=QUARTILE(Data!P$4:P$195,3),3,4)))</f>
        <v>1</v>
      </c>
      <c r="Q8" s="3">
        <f>IF(Data!Q8&lt;=QUARTILE(Data!Q$4:Q$195,1),1,IF(Data!Q8&lt;=MEDIAN(Data!Q$4:Q$195),2,IF(Data!Q8&lt;=QUARTILE(Data!Q$4:Q$195,3),3,4)))</f>
        <v>1</v>
      </c>
      <c r="R8" s="3">
        <f>IF(Data!R8&lt;=QUARTILE(Data!R$4:R$195,1),1,IF(Data!R8&lt;=MEDIAN(Data!R$4:R$195),2,IF(Data!R8&lt;=QUARTILE(Data!R$4:R$195,3),3,4)))</f>
        <v>1</v>
      </c>
      <c r="S8" s="3">
        <f>IF(Data!S8&lt;=QUARTILE(Data!S$4:S$195,1),1,IF(Data!S8&lt;=MEDIAN(Data!S$4:S$195),2,IF(Data!S8&lt;=QUARTILE(Data!S$4:S$195,3),3,4)))</f>
        <v>2</v>
      </c>
      <c r="T8" s="5">
        <f>IF(Data!T8&lt;=QUARTILE(Data!T$4:T$195,1),1,IF(Data!T8&lt;=MEDIAN(Data!T$4:T$195),2,IF(Data!T8&lt;=QUARTILE(Data!T$4:T$195,3),3,4)))</f>
        <v>3</v>
      </c>
      <c r="U8" s="4">
        <f>IF(Data!U8&lt;=QUARTILE(Data!U$4:U$195,1),1,IF(Data!U8&lt;=MEDIAN(Data!U$4:U$195),2,IF(Data!U8&lt;=QUARTILE(Data!U$4:U$195,3),3,4)))</f>
        <v>4</v>
      </c>
      <c r="V8" s="3">
        <f>IF(Data!V8&lt;=QUARTILE(Data!V$4:V$195,1),1,IF(Data!V8&lt;=MEDIAN(Data!V$4:V$195),2,IF(Data!V8&lt;=QUARTILE(Data!V$4:V$195,3),3,4)))</f>
        <v>4</v>
      </c>
      <c r="W8" s="3">
        <f>IF(Data!W8&lt;=QUARTILE(Data!W$4:W$195,1),1,IF(Data!W8&lt;=MEDIAN(Data!W$4:W$195),2,IF(Data!W8&lt;=QUARTILE(Data!W$4:W$195,3),3,4)))</f>
        <v>4</v>
      </c>
      <c r="X8" s="3">
        <f>IF(Data!X8&lt;=QUARTILE(Data!X$4:X$195,1),1,IF(Data!X8&lt;=MEDIAN(Data!X$4:X$195),2,IF(Data!X8&lt;=QUARTILE(Data!X$4:X$195,3),3,4)))</f>
        <v>4</v>
      </c>
      <c r="Y8" s="4">
        <f>IF(Data!Y8&lt;=QUARTILE(Data!Y$4:Y$195,1),1,IF(Data!Y8&lt;=MEDIAN(Data!Y$4:Y$195),2,IF(Data!Y8&lt;=QUARTILE(Data!Y$4:Y$195,3),3,4)))</f>
        <v>4</v>
      </c>
      <c r="Z8" s="5">
        <f>IF(Data!Z8&lt;=QUARTILE(Data!Z$4:Z$195,1),1,IF(Data!Z8&lt;=MEDIAN(Data!Z$4:Z$195),2,IF(Data!Z8&lt;=QUARTILE(Data!Z$4:Z$195,3),3,4)))</f>
        <v>2</v>
      </c>
      <c r="AA8" s="4">
        <f>IF(Data!AA8&lt;=QUARTILE(Data!AA$4:AA$195,1),1,IF(Data!AA8&lt;=MEDIAN(Data!AA$4:AA$195),2,IF(Data!AA8&lt;=QUARTILE(Data!AA$4:AA$195,3),3,4)))</f>
        <v>2</v>
      </c>
      <c r="AB8" s="5">
        <f>IF(Data!AB8&lt;=QUARTILE(Data!AB$4:AB$195,1),1,IF(Data!AB8&lt;=MEDIAN(Data!AB$4:AB$195),2,IF(Data!AB8&lt;=QUARTILE(Data!AB$4:AB$195,3),3,4)))</f>
        <v>2</v>
      </c>
      <c r="AC8" s="4">
        <f>IF(Data!AC8&lt;=QUARTILE(Data!AC$4:AC$195,1),1,IF(Data!AC8&lt;=MEDIAN(Data!AC$4:AC$195),2,IF(Data!AC8&lt;=QUARTILE(Data!AC$4:AC$195,3),3,4)))</f>
        <v>1</v>
      </c>
      <c r="AD8" s="5">
        <f>IF(Data!AD8&lt;=QUARTILE(Data!AD$4:AD$195,1),1,IF(Data!AD8&lt;=MEDIAN(Data!AD$4:AD$195),2,IF(Data!AD8&lt;=QUARTILE(Data!AD$4:AD$195,3),3,4)))</f>
        <v>1</v>
      </c>
      <c r="AE8" s="4">
        <f>IF(Data!AE8&lt;=QUARTILE(Data!AE$4:AE$195,1),1,IF(Data!AE8&lt;=MEDIAN(Data!AE$4:AE$195),2,IF(Data!AE8&lt;=QUARTILE(Data!AE$4:AE$195,3),3,4)))</f>
        <v>2</v>
      </c>
      <c r="AF8" s="3">
        <f>IF(Data!AF8&lt;=QUARTILE(Data!AF$4:AF$195,1),1,IF(Data!AF8&lt;=MEDIAN(Data!AF$4:AF$195),2,IF(Data!AF8&lt;=QUARTILE(Data!AF$4:AF$195,3),3,4)))</f>
        <v>2</v>
      </c>
      <c r="AG8" s="3">
        <f>IF(Data!AG8&lt;=QUARTILE(Data!AG$4:AG$195,1),1,IF(Data!AG8&lt;=MEDIAN(Data!AG$4:AG$195),2,IF(Data!AG8&lt;=QUARTILE(Data!AG$4:AG$195,3),3,4)))</f>
        <v>2</v>
      </c>
      <c r="AH8" s="3">
        <f>IF(Data!AH8&lt;=QUARTILE(Data!AH$4:AH$195,1),1,IF(Data!AH8&lt;=MEDIAN(Data!AH$4:AH$195),2,IF(Data!AH8&lt;=QUARTILE(Data!AH$4:AH$195,3),3,4)))</f>
        <v>1</v>
      </c>
      <c r="AI8" s="4">
        <f>IF(Data!AI8&lt;=QUARTILE(Data!AI$4:AI$195,1),1,IF(Data!AI8&lt;=MEDIAN(Data!AI$4:AI$195),2,IF(Data!AI8&lt;=QUARTILE(Data!AI$4:AI$195,3),3,4)))</f>
        <v>2</v>
      </c>
      <c r="AJ8" s="5">
        <f>IF(Data!AJ8&lt;=QUARTILE(Data!AJ$4:AJ$195,1),1,IF(Data!AJ8&lt;=MEDIAN(Data!AJ$4:AJ$195),2,IF(Data!AJ8&lt;=QUARTILE(Data!AJ$4:AJ$195,3),3,4)))</f>
        <v>1</v>
      </c>
      <c r="AK8" s="4">
        <f>IF(Data!AK8&lt;=QUARTILE(Data!AK$4:AK$195,1),1,IF(Data!AK8&lt;=MEDIAN(Data!AK$4:AK$195),2,IF(Data!AK8&lt;=QUARTILE(Data!AK$4:AK$195,3),3,4)))</f>
        <v>2</v>
      </c>
      <c r="AL8" s="3">
        <f>IF(Data!AL8&lt;=QUARTILE(Data!AL$4:AL$195,1),1,IF(Data!AL8&lt;=MEDIAN(Data!AL$4:AL$195),2,IF(Data!AL8&lt;=QUARTILE(Data!AL$4:AL$195,3),3,4)))</f>
        <v>2</v>
      </c>
      <c r="AM8" s="3">
        <f>IF(Data!AM8&lt;=QUARTILE(Data!AM$4:AM$195,1),1,IF(Data!AM8&lt;=MEDIAN(Data!AM$4:AM$195),2,IF(Data!AM8&lt;=QUARTILE(Data!AM$4:AM$195,3),3,4)))</f>
        <v>2</v>
      </c>
      <c r="AN8" s="5">
        <f>IF(Data!AN8&lt;=QUARTILE(Data!AN$4:AN$195,1),1,IF(Data!AN8&lt;=MEDIAN(Data!AN$4:AN$195),2,IF(Data!AN8&lt;=QUARTILE(Data!AN$4:AN$195,3),3,4)))</f>
        <v>2</v>
      </c>
      <c r="AO8" s="4">
        <f>IF(Data!AO8&lt;=QUARTILE(Data!AO$4:AO$195,1),1,IF(Data!AO8&lt;=MEDIAN(Data!AO$4:AO$195),2,IF(Data!AO8&lt;=QUARTILE(Data!AO$4:AO$195,3),3,4)))</f>
        <v>2</v>
      </c>
      <c r="AP8" s="3">
        <f>IF(Data!AP8&lt;=QUARTILE(Data!AP$4:AP$195,1),1,IF(Data!AP8&lt;=MEDIAN(Data!AP$4:AP$195),2,IF(Data!AP8&lt;=QUARTILE(Data!AP$4:AP$195,3),3,4)))</f>
        <v>1</v>
      </c>
      <c r="AQ8" s="3">
        <f>IF(Data!AQ8&lt;=QUARTILE(Data!AQ$4:AQ$195,1),1,IF(Data!AQ8&lt;=MEDIAN(Data!AQ$4:AQ$195),2,IF(Data!AQ8&lt;=QUARTILE(Data!AQ$4:AQ$195,3),3,4)))</f>
        <v>1</v>
      </c>
      <c r="AR8" s="3">
        <f>IF(Data!AR8&lt;=QUARTILE(Data!AR$4:AR$195,1),1,IF(Data!AR8&lt;=MEDIAN(Data!AR$4:AR$195),2,IF(Data!AR8&lt;=QUARTILE(Data!AR$4:AR$195,3),3,4)))</f>
        <v>1</v>
      </c>
      <c r="AS8" s="3">
        <f>IF(Data!AS8&lt;=QUARTILE(Data!AS$4:AS$195,1),1,IF(Data!AS8&lt;=MEDIAN(Data!AS$4:AS$195),2,IF(Data!AS8&lt;=QUARTILE(Data!AS$4:AS$195,3),3,4)))</f>
        <v>1</v>
      </c>
      <c r="AT8" s="3">
        <f>IF(Data!AT8&lt;=QUARTILE(Data!AT$4:AT$195,1),1,IF(Data!AT8&lt;=MEDIAN(Data!AT$4:AT$195),2,IF(Data!AT8&lt;=QUARTILE(Data!AT$4:AT$195,3),3,4)))</f>
        <v>2</v>
      </c>
      <c r="AU8" s="5">
        <f>IF(Data!AU8&lt;=QUARTILE(Data!AU$4:AU$195,1),1,IF(Data!AU8&lt;=MEDIAN(Data!AU$4:AU$195),2,IF(Data!AU8&lt;=QUARTILE(Data!AU$4:AU$195,3),3,4)))</f>
        <v>2</v>
      </c>
      <c r="AV8" s="4">
        <f>IF(Data!AV8&lt;=QUARTILE(Data!AV$4:AV$195,1),1,IF(Data!AV8&lt;=MEDIAN(Data!AV$4:AV$195),2,IF(Data!AV8&lt;=QUARTILE(Data!AV$4:AV$195,3),3,4)))</f>
        <v>3</v>
      </c>
      <c r="AW8" s="3">
        <f>IF(Data!AW8&lt;=QUARTILE(Data!AW$4:AW$195,1),1,IF(Data!AW8&lt;=MEDIAN(Data!AW$4:AW$195),2,IF(Data!AW8&lt;=QUARTILE(Data!AW$4:AW$195,3),3,4)))</f>
        <v>3</v>
      </c>
      <c r="AX8" s="3">
        <f>IF(Data!AX8&lt;=QUARTILE(Data!AX$4:AX$195,1),1,IF(Data!AX8&lt;=MEDIAN(Data!AX$4:AX$195),2,IF(Data!AX8&lt;=QUARTILE(Data!AX$4:AX$195,3),3,4)))</f>
        <v>3</v>
      </c>
      <c r="AY8" s="3">
        <f>IF(Data!AY8&lt;=QUARTILE(Data!AY$4:AY$195,1),1,IF(Data!AY8&lt;=MEDIAN(Data!AY$4:AY$195),2,IF(Data!AY8&lt;=QUARTILE(Data!AY$4:AY$195,3),3,4)))</f>
        <v>3</v>
      </c>
      <c r="AZ8" s="4">
        <f>IF(Data!AZ8&lt;=QUARTILE(Data!AZ$4:AZ$195,1),1,IF(Data!AZ8&lt;=MEDIAN(Data!AZ$4:AZ$195),2,IF(Data!AZ8&lt;=QUARTILE(Data!AZ$4:AZ$195,3),3,4)))</f>
        <v>4</v>
      </c>
      <c r="BA8" s="5">
        <f>IF(Data!BA8&lt;=QUARTILE(Data!BA$4:BA$195,1),1,IF(Data!BA8&lt;=MEDIAN(Data!BA$4:BA$195),2,IF(Data!BA8&lt;=QUARTILE(Data!BA$4:BA$195,3),3,4)))</f>
        <v>4</v>
      </c>
    </row>
    <row r="9" spans="1:53" x14ac:dyDescent="0.25">
      <c r="A9" s="4" t="s">
        <v>25</v>
      </c>
      <c r="B9" s="40">
        <v>2009</v>
      </c>
      <c r="C9" s="4">
        <v>7</v>
      </c>
      <c r="D9" s="3">
        <v>9</v>
      </c>
      <c r="E9" s="71" t="s">
        <v>96</v>
      </c>
      <c r="F9" s="3">
        <v>-3.9</v>
      </c>
      <c r="G9" s="3">
        <v>-1.9</v>
      </c>
      <c r="H9" s="5">
        <v>-2</v>
      </c>
      <c r="I9" s="4">
        <f>IF(Data!I9&lt;=QUARTILE(Data!I$4:I$195,1),1,IF(Data!I9&lt;=MEDIAN(Data!I$4:I$195),2,IF(Data!I9&lt;=QUARTILE(Data!I$4:I$195,3),3,4)))</f>
        <v>2</v>
      </c>
      <c r="J9" s="3">
        <f>IF(Data!J9&lt;=QUARTILE(Data!J$4:J$195,1),1,IF(Data!J9&lt;=MEDIAN(Data!J$4:J$195),2,IF(Data!J9&lt;=QUARTILE(Data!J$4:J$195,3),3,4)))</f>
        <v>2</v>
      </c>
      <c r="K9" s="3">
        <f>IF(Data!K9&lt;=QUARTILE(Data!K$4:K$195,1),1,IF(Data!K9&lt;=MEDIAN(Data!K$4:K$195),2,IF(Data!K9&lt;=QUARTILE(Data!K$4:K$195,3),3,4)))</f>
        <v>1</v>
      </c>
      <c r="L9" s="5">
        <f>IF(Data!L9&lt;=QUARTILE(Data!L$4:L$195,1),1,IF(Data!L9&lt;=MEDIAN(Data!L$4:L$195),2,IF(Data!L9&lt;=QUARTILE(Data!L$4:L$195,3),3,4)))</f>
        <v>1</v>
      </c>
      <c r="M9" s="4">
        <f>IF(Data!M9&lt;=QUARTILE(Data!M$4:M$195,1),1,IF(Data!M9&lt;=MEDIAN(Data!M$4:M$195),2,IF(Data!M9&lt;=QUARTILE(Data!M$4:M$195,3),3,4)))</f>
        <v>3</v>
      </c>
      <c r="N9" s="3">
        <f>IF(Data!N9&lt;=QUARTILE(Data!N$4:N$195,1),1,IF(Data!N9&lt;=MEDIAN(Data!N$4:N$195),2,IF(Data!N9&lt;=QUARTILE(Data!N$4:N$195,3),3,4)))</f>
        <v>4</v>
      </c>
      <c r="O9" s="3">
        <f>IF(Data!O9&lt;=QUARTILE(Data!O$4:O$195,1),1,IF(Data!O9&lt;=MEDIAN(Data!O$4:O$195),2,IF(Data!O9&lt;=QUARTILE(Data!O$4:O$195,3),3,4)))</f>
        <v>3</v>
      </c>
      <c r="P9" s="3">
        <f>IF(Data!P9&lt;=QUARTILE(Data!P$4:P$195,1),1,IF(Data!P9&lt;=MEDIAN(Data!P$4:P$195),2,IF(Data!P9&lt;=QUARTILE(Data!P$4:P$195,3),3,4)))</f>
        <v>4</v>
      </c>
      <c r="Q9" s="3">
        <f>IF(Data!Q9&lt;=QUARTILE(Data!Q$4:Q$195,1),1,IF(Data!Q9&lt;=MEDIAN(Data!Q$4:Q$195),2,IF(Data!Q9&lt;=QUARTILE(Data!Q$4:Q$195,3),3,4)))</f>
        <v>2</v>
      </c>
      <c r="R9" s="3">
        <f>IF(Data!R9&lt;=QUARTILE(Data!R$4:R$195,1),1,IF(Data!R9&lt;=MEDIAN(Data!R$4:R$195),2,IF(Data!R9&lt;=QUARTILE(Data!R$4:R$195,3),3,4)))</f>
        <v>2</v>
      </c>
      <c r="S9" s="3">
        <f>IF(Data!S9&lt;=QUARTILE(Data!S$4:S$195,1),1,IF(Data!S9&lt;=MEDIAN(Data!S$4:S$195),2,IF(Data!S9&lt;=QUARTILE(Data!S$4:S$195,3),3,4)))</f>
        <v>3</v>
      </c>
      <c r="T9" s="5">
        <f>IF(Data!T9&lt;=QUARTILE(Data!T$4:T$195,1),1,IF(Data!T9&lt;=MEDIAN(Data!T$4:T$195),2,IF(Data!T9&lt;=QUARTILE(Data!T$4:T$195,3),3,4)))</f>
        <v>2</v>
      </c>
      <c r="U9" s="4">
        <f>IF(Data!U9&lt;=QUARTILE(Data!U$4:U$195,1),1,IF(Data!U9&lt;=MEDIAN(Data!U$4:U$195),2,IF(Data!U9&lt;=QUARTILE(Data!U$4:U$195,3),3,4)))</f>
        <v>1</v>
      </c>
      <c r="V9" s="3">
        <f>IF(Data!V9&lt;=QUARTILE(Data!V$4:V$195,1),1,IF(Data!V9&lt;=MEDIAN(Data!V$4:V$195),2,IF(Data!V9&lt;=QUARTILE(Data!V$4:V$195,3),3,4)))</f>
        <v>1</v>
      </c>
      <c r="W9" s="3">
        <f>IF(Data!W9&lt;=QUARTILE(Data!W$4:W$195,1),1,IF(Data!W9&lt;=MEDIAN(Data!W$4:W$195),2,IF(Data!W9&lt;=QUARTILE(Data!W$4:W$195,3),3,4)))</f>
        <v>1</v>
      </c>
      <c r="X9" s="3">
        <f>IF(Data!X9&lt;=QUARTILE(Data!X$4:X$195,1),1,IF(Data!X9&lt;=MEDIAN(Data!X$4:X$195),2,IF(Data!X9&lt;=QUARTILE(Data!X$4:X$195,3),3,4)))</f>
        <v>1</v>
      </c>
      <c r="Y9" s="4">
        <f>IF(Data!Y9&lt;=QUARTILE(Data!Y$4:Y$195,1),1,IF(Data!Y9&lt;=MEDIAN(Data!Y$4:Y$195),2,IF(Data!Y9&lt;=QUARTILE(Data!Y$4:Y$195,3),3,4)))</f>
        <v>4</v>
      </c>
      <c r="Z9" s="5">
        <f>IF(Data!Z9&lt;=QUARTILE(Data!Z$4:Z$195,1),1,IF(Data!Z9&lt;=MEDIAN(Data!Z$4:Z$195),2,IF(Data!Z9&lt;=QUARTILE(Data!Z$4:Z$195,3),3,4)))</f>
        <v>1</v>
      </c>
      <c r="AA9" s="4">
        <f>IF(Data!AA9&lt;=QUARTILE(Data!AA$4:AA$195,1),1,IF(Data!AA9&lt;=MEDIAN(Data!AA$4:AA$195),2,IF(Data!AA9&lt;=QUARTILE(Data!AA$4:AA$195,3),3,4)))</f>
        <v>3</v>
      </c>
      <c r="AB9" s="5">
        <f>IF(Data!AB9&lt;=QUARTILE(Data!AB$4:AB$195,1),1,IF(Data!AB9&lt;=MEDIAN(Data!AB$4:AB$195),2,IF(Data!AB9&lt;=QUARTILE(Data!AB$4:AB$195,3),3,4)))</f>
        <v>3</v>
      </c>
      <c r="AC9" s="4">
        <f>IF(Data!AC9&lt;=QUARTILE(Data!AC$4:AC$195,1),1,IF(Data!AC9&lt;=MEDIAN(Data!AC$4:AC$195),2,IF(Data!AC9&lt;=QUARTILE(Data!AC$4:AC$195,3),3,4)))</f>
        <v>4</v>
      </c>
      <c r="AD9" s="5">
        <f>IF(Data!AD9&lt;=QUARTILE(Data!AD$4:AD$195,1),1,IF(Data!AD9&lt;=MEDIAN(Data!AD$4:AD$195),2,IF(Data!AD9&lt;=QUARTILE(Data!AD$4:AD$195,3),3,4)))</f>
        <v>4</v>
      </c>
      <c r="AE9" s="4">
        <f>IF(Data!AE9&lt;=QUARTILE(Data!AE$4:AE$195,1),1,IF(Data!AE9&lt;=MEDIAN(Data!AE$4:AE$195),2,IF(Data!AE9&lt;=QUARTILE(Data!AE$4:AE$195,3),3,4)))</f>
        <v>1</v>
      </c>
      <c r="AF9" s="3">
        <f>IF(Data!AF9&lt;=QUARTILE(Data!AF$4:AF$195,1),1,IF(Data!AF9&lt;=MEDIAN(Data!AF$4:AF$195),2,IF(Data!AF9&lt;=QUARTILE(Data!AF$4:AF$195,3),3,4)))</f>
        <v>2</v>
      </c>
      <c r="AG9" s="3">
        <f>IF(Data!AG9&lt;=QUARTILE(Data!AG$4:AG$195,1),1,IF(Data!AG9&lt;=MEDIAN(Data!AG$4:AG$195),2,IF(Data!AG9&lt;=QUARTILE(Data!AG$4:AG$195,3),3,4)))</f>
        <v>3</v>
      </c>
      <c r="AH9" s="3">
        <f>IF(Data!AH9&lt;=QUARTILE(Data!AH$4:AH$195,1),1,IF(Data!AH9&lt;=MEDIAN(Data!AH$4:AH$195),2,IF(Data!AH9&lt;=QUARTILE(Data!AH$4:AH$195,3),3,4)))</f>
        <v>3</v>
      </c>
      <c r="AI9" s="4">
        <f>IF(Data!AI9&lt;=QUARTILE(Data!AI$4:AI$195,1),1,IF(Data!AI9&lt;=MEDIAN(Data!AI$4:AI$195),2,IF(Data!AI9&lt;=QUARTILE(Data!AI$4:AI$195,3),3,4)))</f>
        <v>2</v>
      </c>
      <c r="AJ9" s="5">
        <f>IF(Data!AJ9&lt;=QUARTILE(Data!AJ$4:AJ$195,1),1,IF(Data!AJ9&lt;=MEDIAN(Data!AJ$4:AJ$195),2,IF(Data!AJ9&lt;=QUARTILE(Data!AJ$4:AJ$195,3),3,4)))</f>
        <v>1</v>
      </c>
      <c r="AK9" s="4">
        <f>IF(Data!AK9&lt;=QUARTILE(Data!AK$4:AK$195,1),1,IF(Data!AK9&lt;=MEDIAN(Data!AK$4:AK$195),2,IF(Data!AK9&lt;=QUARTILE(Data!AK$4:AK$195,3),3,4)))</f>
        <v>3</v>
      </c>
      <c r="AL9" s="3">
        <f>IF(Data!AL9&lt;=QUARTILE(Data!AL$4:AL$195,1),1,IF(Data!AL9&lt;=MEDIAN(Data!AL$4:AL$195),2,IF(Data!AL9&lt;=QUARTILE(Data!AL$4:AL$195,3),3,4)))</f>
        <v>3</v>
      </c>
      <c r="AM9" s="3">
        <f>IF(Data!AM9&lt;=QUARTILE(Data!AM$4:AM$195,1),1,IF(Data!AM9&lt;=MEDIAN(Data!AM$4:AM$195),2,IF(Data!AM9&lt;=QUARTILE(Data!AM$4:AM$195,3),3,4)))</f>
        <v>4</v>
      </c>
      <c r="AN9" s="5">
        <f>IF(Data!AN9&lt;=QUARTILE(Data!AN$4:AN$195,1),1,IF(Data!AN9&lt;=MEDIAN(Data!AN$4:AN$195),2,IF(Data!AN9&lt;=QUARTILE(Data!AN$4:AN$195,3),3,4)))</f>
        <v>3</v>
      </c>
      <c r="AO9" s="4">
        <f>IF(Data!AO9&lt;=QUARTILE(Data!AO$4:AO$195,1),1,IF(Data!AO9&lt;=MEDIAN(Data!AO$4:AO$195),2,IF(Data!AO9&lt;=QUARTILE(Data!AO$4:AO$195,3),3,4)))</f>
        <v>4</v>
      </c>
      <c r="AP9" s="3">
        <f>IF(Data!AP9&lt;=QUARTILE(Data!AP$4:AP$195,1),1,IF(Data!AP9&lt;=MEDIAN(Data!AP$4:AP$195),2,IF(Data!AP9&lt;=QUARTILE(Data!AP$4:AP$195,3),3,4)))</f>
        <v>3</v>
      </c>
      <c r="AQ9" s="3">
        <f>IF(Data!AQ9&lt;=QUARTILE(Data!AQ$4:AQ$195,1),1,IF(Data!AQ9&lt;=MEDIAN(Data!AQ$4:AQ$195),2,IF(Data!AQ9&lt;=QUARTILE(Data!AQ$4:AQ$195,3),3,4)))</f>
        <v>3</v>
      </c>
      <c r="AR9" s="3">
        <f>IF(Data!AR9&lt;=QUARTILE(Data!AR$4:AR$195,1),1,IF(Data!AR9&lt;=MEDIAN(Data!AR$4:AR$195),2,IF(Data!AR9&lt;=QUARTILE(Data!AR$4:AR$195,3),3,4)))</f>
        <v>4</v>
      </c>
      <c r="AS9" s="3">
        <f>IF(Data!AS9&lt;=QUARTILE(Data!AS$4:AS$195,1),1,IF(Data!AS9&lt;=MEDIAN(Data!AS$4:AS$195),2,IF(Data!AS9&lt;=QUARTILE(Data!AS$4:AS$195,3),3,4)))</f>
        <v>3</v>
      </c>
      <c r="AT9" s="3">
        <f>IF(Data!AT9&lt;=QUARTILE(Data!AT$4:AT$195,1),1,IF(Data!AT9&lt;=MEDIAN(Data!AT$4:AT$195),2,IF(Data!AT9&lt;=QUARTILE(Data!AT$4:AT$195,3),3,4)))</f>
        <v>2</v>
      </c>
      <c r="AU9" s="5">
        <f>IF(Data!AU9&lt;=QUARTILE(Data!AU$4:AU$195,1),1,IF(Data!AU9&lt;=MEDIAN(Data!AU$4:AU$195),2,IF(Data!AU9&lt;=QUARTILE(Data!AU$4:AU$195,3),3,4)))</f>
        <v>4</v>
      </c>
      <c r="AV9" s="4">
        <f>IF(Data!AV9&lt;=QUARTILE(Data!AV$4:AV$195,1),1,IF(Data!AV9&lt;=MEDIAN(Data!AV$4:AV$195),2,IF(Data!AV9&lt;=QUARTILE(Data!AV$4:AV$195,3),3,4)))</f>
        <v>3</v>
      </c>
      <c r="AW9" s="3">
        <f>IF(Data!AW9&lt;=QUARTILE(Data!AW$4:AW$195,1),1,IF(Data!AW9&lt;=MEDIAN(Data!AW$4:AW$195),2,IF(Data!AW9&lt;=QUARTILE(Data!AW$4:AW$195,3),3,4)))</f>
        <v>3</v>
      </c>
      <c r="AX9" s="3">
        <f>IF(Data!AX9&lt;=QUARTILE(Data!AX$4:AX$195,1),1,IF(Data!AX9&lt;=MEDIAN(Data!AX$4:AX$195),2,IF(Data!AX9&lt;=QUARTILE(Data!AX$4:AX$195,3),3,4)))</f>
        <v>3</v>
      </c>
      <c r="AY9" s="3">
        <f>IF(Data!AY9&lt;=QUARTILE(Data!AY$4:AY$195,1),1,IF(Data!AY9&lt;=MEDIAN(Data!AY$4:AY$195),2,IF(Data!AY9&lt;=QUARTILE(Data!AY$4:AY$195,3),3,4)))</f>
        <v>3</v>
      </c>
      <c r="AZ9" s="4">
        <f>IF(Data!AZ9&lt;=QUARTILE(Data!AZ$4:AZ$195,1),1,IF(Data!AZ9&lt;=MEDIAN(Data!AZ$4:AZ$195),2,IF(Data!AZ9&lt;=QUARTILE(Data!AZ$4:AZ$195,3),3,4)))</f>
        <v>1</v>
      </c>
      <c r="BA9" s="5">
        <f>IF(Data!BA9&lt;=QUARTILE(Data!BA$4:BA$195,1),1,IF(Data!BA9&lt;=MEDIAN(Data!BA$4:BA$195),2,IF(Data!BA9&lt;=QUARTILE(Data!BA$4:BA$195,3),3,4)))</f>
        <v>4</v>
      </c>
    </row>
    <row r="10" spans="1:53" x14ac:dyDescent="0.25">
      <c r="A10" s="4" t="s">
        <v>7</v>
      </c>
      <c r="B10" s="40">
        <v>2009</v>
      </c>
      <c r="C10" s="4">
        <v>10</v>
      </c>
      <c r="D10" s="3">
        <v>6</v>
      </c>
      <c r="E10" s="71" t="s">
        <v>97</v>
      </c>
      <c r="F10" s="3">
        <v>0.7</v>
      </c>
      <c r="G10" s="3">
        <v>-2.5</v>
      </c>
      <c r="H10" s="5">
        <v>3.2</v>
      </c>
      <c r="I10" s="4">
        <f>IF(Data!I10&lt;=QUARTILE(Data!I$4:I$195,1),1,IF(Data!I10&lt;=MEDIAN(Data!I$4:I$195),2,IF(Data!I10&lt;=QUARTILE(Data!I$4:I$195,3),3,4)))</f>
        <v>2</v>
      </c>
      <c r="J10" s="3">
        <f>IF(Data!J10&lt;=QUARTILE(Data!J$4:J$195,1),1,IF(Data!J10&lt;=MEDIAN(Data!J$4:J$195),2,IF(Data!J10&lt;=QUARTILE(Data!J$4:J$195,3),3,4)))</f>
        <v>2</v>
      </c>
      <c r="K10" s="3">
        <f>IF(Data!K10&lt;=QUARTILE(Data!K$4:K$195,1),1,IF(Data!K10&lt;=MEDIAN(Data!K$4:K$195),2,IF(Data!K10&lt;=QUARTILE(Data!K$4:K$195,3),3,4)))</f>
        <v>3</v>
      </c>
      <c r="L10" s="5">
        <f>IF(Data!L10&lt;=QUARTILE(Data!L$4:L$195,1),1,IF(Data!L10&lt;=MEDIAN(Data!L$4:L$195),2,IF(Data!L10&lt;=QUARTILE(Data!L$4:L$195,3),3,4)))</f>
        <v>2</v>
      </c>
      <c r="M10" s="4">
        <f>IF(Data!M10&lt;=QUARTILE(Data!M$4:M$195,1),1,IF(Data!M10&lt;=MEDIAN(Data!M$4:M$195),2,IF(Data!M10&lt;=QUARTILE(Data!M$4:M$195,3),3,4)))</f>
        <v>2</v>
      </c>
      <c r="N10" s="3">
        <f>IF(Data!N10&lt;=QUARTILE(Data!N$4:N$195,1),1,IF(Data!N10&lt;=MEDIAN(Data!N$4:N$195),2,IF(Data!N10&lt;=QUARTILE(Data!N$4:N$195,3),3,4)))</f>
        <v>2</v>
      </c>
      <c r="O10" s="3">
        <f>IF(Data!O10&lt;=QUARTILE(Data!O$4:O$195,1),1,IF(Data!O10&lt;=MEDIAN(Data!O$4:O$195),2,IF(Data!O10&lt;=QUARTILE(Data!O$4:O$195,3),3,4)))</f>
        <v>1</v>
      </c>
      <c r="P10" s="3">
        <f>IF(Data!P10&lt;=QUARTILE(Data!P$4:P$195,1),1,IF(Data!P10&lt;=MEDIAN(Data!P$4:P$195),2,IF(Data!P10&lt;=QUARTILE(Data!P$4:P$195,3),3,4)))</f>
        <v>2</v>
      </c>
      <c r="Q10" s="3">
        <f>IF(Data!Q10&lt;=QUARTILE(Data!Q$4:Q$195,1),1,IF(Data!Q10&lt;=MEDIAN(Data!Q$4:Q$195),2,IF(Data!Q10&lt;=QUARTILE(Data!Q$4:Q$195,3),3,4)))</f>
        <v>2</v>
      </c>
      <c r="R10" s="3">
        <f>IF(Data!R10&lt;=QUARTILE(Data!R$4:R$195,1),1,IF(Data!R10&lt;=MEDIAN(Data!R$4:R$195),2,IF(Data!R10&lt;=QUARTILE(Data!R$4:R$195,3),3,4)))</f>
        <v>3</v>
      </c>
      <c r="S10" s="3">
        <f>IF(Data!S10&lt;=QUARTILE(Data!S$4:S$195,1),1,IF(Data!S10&lt;=MEDIAN(Data!S$4:S$195),2,IF(Data!S10&lt;=QUARTILE(Data!S$4:S$195,3),3,4)))</f>
        <v>2</v>
      </c>
      <c r="T10" s="5">
        <f>IF(Data!T10&lt;=QUARTILE(Data!T$4:T$195,1),1,IF(Data!T10&lt;=MEDIAN(Data!T$4:T$195),2,IF(Data!T10&lt;=QUARTILE(Data!T$4:T$195,3),3,4)))</f>
        <v>3</v>
      </c>
      <c r="U10" s="4">
        <f>IF(Data!U10&lt;=QUARTILE(Data!U$4:U$195,1),1,IF(Data!U10&lt;=MEDIAN(Data!U$4:U$195),2,IF(Data!U10&lt;=QUARTILE(Data!U$4:U$195,3),3,4)))</f>
        <v>4</v>
      </c>
      <c r="V10" s="3">
        <f>IF(Data!V10&lt;=QUARTILE(Data!V$4:V$195,1),1,IF(Data!V10&lt;=MEDIAN(Data!V$4:V$195),2,IF(Data!V10&lt;=QUARTILE(Data!V$4:V$195,3),3,4)))</f>
        <v>3</v>
      </c>
      <c r="W10" s="3">
        <f>IF(Data!W10&lt;=QUARTILE(Data!W$4:W$195,1),1,IF(Data!W10&lt;=MEDIAN(Data!W$4:W$195),2,IF(Data!W10&lt;=QUARTILE(Data!W$4:W$195,3),3,4)))</f>
        <v>1</v>
      </c>
      <c r="X10" s="3">
        <f>IF(Data!X10&lt;=QUARTILE(Data!X$4:X$195,1),1,IF(Data!X10&lt;=MEDIAN(Data!X$4:X$195),2,IF(Data!X10&lt;=QUARTILE(Data!X$4:X$195,3),3,4)))</f>
        <v>3</v>
      </c>
      <c r="Y10" s="4">
        <f>IF(Data!Y10&lt;=QUARTILE(Data!Y$4:Y$195,1),1,IF(Data!Y10&lt;=MEDIAN(Data!Y$4:Y$195),2,IF(Data!Y10&lt;=QUARTILE(Data!Y$4:Y$195,3),3,4)))</f>
        <v>1</v>
      </c>
      <c r="Z10" s="5">
        <f>IF(Data!Z10&lt;=QUARTILE(Data!Z$4:Z$195,1),1,IF(Data!Z10&lt;=MEDIAN(Data!Z$4:Z$195),2,IF(Data!Z10&lt;=QUARTILE(Data!Z$4:Z$195,3),3,4)))</f>
        <v>2</v>
      </c>
      <c r="AA10" s="4">
        <f>IF(Data!AA10&lt;=QUARTILE(Data!AA$4:AA$195,1),1,IF(Data!AA10&lt;=MEDIAN(Data!AA$4:AA$195),2,IF(Data!AA10&lt;=QUARTILE(Data!AA$4:AA$195,3),3,4)))</f>
        <v>3</v>
      </c>
      <c r="AB10" s="5">
        <f>IF(Data!AB10&lt;=QUARTILE(Data!AB$4:AB$195,1),1,IF(Data!AB10&lt;=MEDIAN(Data!AB$4:AB$195),2,IF(Data!AB10&lt;=QUARTILE(Data!AB$4:AB$195,3),3,4)))</f>
        <v>4</v>
      </c>
      <c r="AC10" s="4">
        <f>IF(Data!AC10&lt;=QUARTILE(Data!AC$4:AC$195,1),1,IF(Data!AC10&lt;=MEDIAN(Data!AC$4:AC$195),2,IF(Data!AC10&lt;=QUARTILE(Data!AC$4:AC$195,3),3,4)))</f>
        <v>2</v>
      </c>
      <c r="AD10" s="5">
        <f>IF(Data!AD10&lt;=QUARTILE(Data!AD$4:AD$195,1),1,IF(Data!AD10&lt;=MEDIAN(Data!AD$4:AD$195),2,IF(Data!AD10&lt;=QUARTILE(Data!AD$4:AD$195,3),3,4)))</f>
        <v>2</v>
      </c>
      <c r="AE10" s="4">
        <f>IF(Data!AE10&lt;=QUARTILE(Data!AE$4:AE$195,1),1,IF(Data!AE10&lt;=MEDIAN(Data!AE$4:AE$195),2,IF(Data!AE10&lt;=QUARTILE(Data!AE$4:AE$195,3),3,4)))</f>
        <v>4</v>
      </c>
      <c r="AF10" s="3">
        <f>IF(Data!AF10&lt;=QUARTILE(Data!AF$4:AF$195,1),1,IF(Data!AF10&lt;=MEDIAN(Data!AF$4:AF$195),2,IF(Data!AF10&lt;=QUARTILE(Data!AF$4:AF$195,3),3,4)))</f>
        <v>3</v>
      </c>
      <c r="AG10" s="3">
        <f>IF(Data!AG10&lt;=QUARTILE(Data!AG$4:AG$195,1),1,IF(Data!AG10&lt;=MEDIAN(Data!AG$4:AG$195),2,IF(Data!AG10&lt;=QUARTILE(Data!AG$4:AG$195,3),3,4)))</f>
        <v>1</v>
      </c>
      <c r="AH10" s="3">
        <f>IF(Data!AH10&lt;=QUARTILE(Data!AH$4:AH$195,1),1,IF(Data!AH10&lt;=MEDIAN(Data!AH$4:AH$195),2,IF(Data!AH10&lt;=QUARTILE(Data!AH$4:AH$195,3),3,4)))</f>
        <v>1</v>
      </c>
      <c r="AI10" s="4">
        <f>IF(Data!AI10&lt;=QUARTILE(Data!AI$4:AI$195,1),1,IF(Data!AI10&lt;=MEDIAN(Data!AI$4:AI$195),2,IF(Data!AI10&lt;=QUARTILE(Data!AI$4:AI$195,3),3,4)))</f>
        <v>4</v>
      </c>
      <c r="AJ10" s="5">
        <f>IF(Data!AJ10&lt;=QUARTILE(Data!AJ$4:AJ$195,1),1,IF(Data!AJ10&lt;=MEDIAN(Data!AJ$4:AJ$195),2,IF(Data!AJ10&lt;=QUARTILE(Data!AJ$4:AJ$195,3),3,4)))</f>
        <v>1</v>
      </c>
      <c r="AK10" s="4">
        <f>IF(Data!AK10&lt;=QUARTILE(Data!AK$4:AK$195,1),1,IF(Data!AK10&lt;=MEDIAN(Data!AK$4:AK$195),2,IF(Data!AK10&lt;=QUARTILE(Data!AK$4:AK$195,3),3,4)))</f>
        <v>1</v>
      </c>
      <c r="AL10" s="3">
        <f>IF(Data!AL10&lt;=QUARTILE(Data!AL$4:AL$195,1),1,IF(Data!AL10&lt;=MEDIAN(Data!AL$4:AL$195),2,IF(Data!AL10&lt;=QUARTILE(Data!AL$4:AL$195,3),3,4)))</f>
        <v>1</v>
      </c>
      <c r="AM10" s="3">
        <f>IF(Data!AM10&lt;=QUARTILE(Data!AM$4:AM$195,1),1,IF(Data!AM10&lt;=MEDIAN(Data!AM$4:AM$195),2,IF(Data!AM10&lt;=QUARTILE(Data!AM$4:AM$195,3),3,4)))</f>
        <v>2</v>
      </c>
      <c r="AN10" s="5">
        <f>IF(Data!AN10&lt;=QUARTILE(Data!AN$4:AN$195,1),1,IF(Data!AN10&lt;=MEDIAN(Data!AN$4:AN$195),2,IF(Data!AN10&lt;=QUARTILE(Data!AN$4:AN$195,3),3,4)))</f>
        <v>1</v>
      </c>
      <c r="AO10" s="4">
        <f>IF(Data!AO10&lt;=QUARTILE(Data!AO$4:AO$195,1),1,IF(Data!AO10&lt;=MEDIAN(Data!AO$4:AO$195),2,IF(Data!AO10&lt;=QUARTILE(Data!AO$4:AO$195,3),3,4)))</f>
        <v>3</v>
      </c>
      <c r="AP10" s="3">
        <f>IF(Data!AP10&lt;=QUARTILE(Data!AP$4:AP$195,1),1,IF(Data!AP10&lt;=MEDIAN(Data!AP$4:AP$195),2,IF(Data!AP10&lt;=QUARTILE(Data!AP$4:AP$195,3),3,4)))</f>
        <v>4</v>
      </c>
      <c r="AQ10" s="3">
        <f>IF(Data!AQ10&lt;=QUARTILE(Data!AQ$4:AQ$195,1),1,IF(Data!AQ10&lt;=MEDIAN(Data!AQ$4:AQ$195),2,IF(Data!AQ10&lt;=QUARTILE(Data!AQ$4:AQ$195,3),3,4)))</f>
        <v>2</v>
      </c>
      <c r="AR10" s="3">
        <f>IF(Data!AR10&lt;=QUARTILE(Data!AR$4:AR$195,1),1,IF(Data!AR10&lt;=MEDIAN(Data!AR$4:AR$195),2,IF(Data!AR10&lt;=QUARTILE(Data!AR$4:AR$195,3),3,4)))</f>
        <v>1</v>
      </c>
      <c r="AS10" s="3">
        <f>IF(Data!AS10&lt;=QUARTILE(Data!AS$4:AS$195,1),1,IF(Data!AS10&lt;=MEDIAN(Data!AS$4:AS$195),2,IF(Data!AS10&lt;=QUARTILE(Data!AS$4:AS$195,3),3,4)))</f>
        <v>2</v>
      </c>
      <c r="AT10" s="3">
        <f>IF(Data!AT10&lt;=QUARTILE(Data!AT$4:AT$195,1),1,IF(Data!AT10&lt;=MEDIAN(Data!AT$4:AT$195),2,IF(Data!AT10&lt;=QUARTILE(Data!AT$4:AT$195,3),3,4)))</f>
        <v>2</v>
      </c>
      <c r="AU10" s="5">
        <f>IF(Data!AU10&lt;=QUARTILE(Data!AU$4:AU$195,1),1,IF(Data!AU10&lt;=MEDIAN(Data!AU$4:AU$195),2,IF(Data!AU10&lt;=QUARTILE(Data!AU$4:AU$195,3),3,4)))</f>
        <v>3</v>
      </c>
      <c r="AV10" s="4">
        <f>IF(Data!AV10&lt;=QUARTILE(Data!AV$4:AV$195,1),1,IF(Data!AV10&lt;=MEDIAN(Data!AV$4:AV$195),2,IF(Data!AV10&lt;=QUARTILE(Data!AV$4:AV$195,3),3,4)))</f>
        <v>1</v>
      </c>
      <c r="AW10" s="3">
        <f>IF(Data!AW10&lt;=QUARTILE(Data!AW$4:AW$195,1),1,IF(Data!AW10&lt;=MEDIAN(Data!AW$4:AW$195),2,IF(Data!AW10&lt;=QUARTILE(Data!AW$4:AW$195,3),3,4)))</f>
        <v>1</v>
      </c>
      <c r="AX10" s="3">
        <f>IF(Data!AX10&lt;=QUARTILE(Data!AX$4:AX$195,1),1,IF(Data!AX10&lt;=MEDIAN(Data!AX$4:AX$195),2,IF(Data!AX10&lt;=QUARTILE(Data!AX$4:AX$195,3),3,4)))</f>
        <v>2</v>
      </c>
      <c r="AY10" s="3">
        <f>IF(Data!AY10&lt;=QUARTILE(Data!AY$4:AY$195,1),1,IF(Data!AY10&lt;=MEDIAN(Data!AY$4:AY$195),2,IF(Data!AY10&lt;=QUARTILE(Data!AY$4:AY$195,3),3,4)))</f>
        <v>2</v>
      </c>
      <c r="AZ10" s="4">
        <f>IF(Data!AZ10&lt;=QUARTILE(Data!AZ$4:AZ$195,1),1,IF(Data!AZ10&lt;=MEDIAN(Data!AZ$4:AZ$195),2,IF(Data!AZ10&lt;=QUARTILE(Data!AZ$4:AZ$195,3),3,4)))</f>
        <v>3</v>
      </c>
      <c r="BA10" s="5">
        <f>IF(Data!BA10&lt;=QUARTILE(Data!BA$4:BA$195,1),1,IF(Data!BA10&lt;=MEDIAN(Data!BA$4:BA$195),2,IF(Data!BA10&lt;=QUARTILE(Data!BA$4:BA$195,3),3,4)))</f>
        <v>1</v>
      </c>
    </row>
    <row r="11" spans="1:53" x14ac:dyDescent="0.25">
      <c r="A11" s="4" t="s">
        <v>10</v>
      </c>
      <c r="B11" s="40">
        <v>2009</v>
      </c>
      <c r="C11" s="4">
        <v>5</v>
      </c>
      <c r="D11" s="3">
        <v>11</v>
      </c>
      <c r="E11" s="71" t="s">
        <v>96</v>
      </c>
      <c r="F11" s="3">
        <v>-8.4</v>
      </c>
      <c r="G11" s="3">
        <v>-6</v>
      </c>
      <c r="H11" s="5">
        <v>-2.4</v>
      </c>
      <c r="I11" s="4">
        <f>IF(Data!I11&lt;=QUARTILE(Data!I$4:I$195,1),1,IF(Data!I11&lt;=MEDIAN(Data!I$4:I$195),2,IF(Data!I11&lt;=QUARTILE(Data!I$4:I$195,3),3,4)))</f>
        <v>1</v>
      </c>
      <c r="J11" s="3">
        <f>IF(Data!J11&lt;=QUARTILE(Data!J$4:J$195,1),1,IF(Data!J11&lt;=MEDIAN(Data!J$4:J$195),2,IF(Data!J11&lt;=QUARTILE(Data!J$4:J$195,3),3,4)))</f>
        <v>1</v>
      </c>
      <c r="K11" s="3">
        <f>IF(Data!K11&lt;=QUARTILE(Data!K$4:K$195,1),1,IF(Data!K11&lt;=MEDIAN(Data!K$4:K$195),2,IF(Data!K11&lt;=QUARTILE(Data!K$4:K$195,3),3,4)))</f>
        <v>1</v>
      </c>
      <c r="L11" s="5">
        <f>IF(Data!L11&lt;=QUARTILE(Data!L$4:L$195,1),1,IF(Data!L11&lt;=MEDIAN(Data!L$4:L$195),2,IF(Data!L11&lt;=QUARTILE(Data!L$4:L$195,3),3,4)))</f>
        <v>1</v>
      </c>
      <c r="M11" s="4">
        <f>IF(Data!M11&lt;=QUARTILE(Data!M$4:M$195,1),1,IF(Data!M11&lt;=MEDIAN(Data!M$4:M$195),2,IF(Data!M11&lt;=QUARTILE(Data!M$4:M$195,3),3,4)))</f>
        <v>1</v>
      </c>
      <c r="N11" s="3">
        <f>IF(Data!N11&lt;=QUARTILE(Data!N$4:N$195,1),1,IF(Data!N11&lt;=MEDIAN(Data!N$4:N$195),2,IF(Data!N11&lt;=QUARTILE(Data!N$4:N$195,3),3,4)))</f>
        <v>1</v>
      </c>
      <c r="O11" s="3">
        <f>IF(Data!O11&lt;=QUARTILE(Data!O$4:O$195,1),1,IF(Data!O11&lt;=MEDIAN(Data!O$4:O$195),2,IF(Data!O11&lt;=QUARTILE(Data!O$4:O$195,3),3,4)))</f>
        <v>1</v>
      </c>
      <c r="P11" s="3">
        <f>IF(Data!P11&lt;=QUARTILE(Data!P$4:P$195,1),1,IF(Data!P11&lt;=MEDIAN(Data!P$4:P$195),2,IF(Data!P11&lt;=QUARTILE(Data!P$4:P$195,3),3,4)))</f>
        <v>1</v>
      </c>
      <c r="Q11" s="3">
        <f>IF(Data!Q11&lt;=QUARTILE(Data!Q$4:Q$195,1),1,IF(Data!Q11&lt;=MEDIAN(Data!Q$4:Q$195),2,IF(Data!Q11&lt;=QUARTILE(Data!Q$4:Q$195,3),3,4)))</f>
        <v>1</v>
      </c>
      <c r="R11" s="3">
        <f>IF(Data!R11&lt;=QUARTILE(Data!R$4:R$195,1),1,IF(Data!R11&lt;=MEDIAN(Data!R$4:R$195),2,IF(Data!R11&lt;=QUARTILE(Data!R$4:R$195,3),3,4)))</f>
        <v>1</v>
      </c>
      <c r="S11" s="3">
        <f>IF(Data!S11&lt;=QUARTILE(Data!S$4:S$195,1),1,IF(Data!S11&lt;=MEDIAN(Data!S$4:S$195),2,IF(Data!S11&lt;=QUARTILE(Data!S$4:S$195,3),3,4)))</f>
        <v>2</v>
      </c>
      <c r="T11" s="5">
        <f>IF(Data!T11&lt;=QUARTILE(Data!T$4:T$195,1),1,IF(Data!T11&lt;=MEDIAN(Data!T$4:T$195),2,IF(Data!T11&lt;=QUARTILE(Data!T$4:T$195,3),3,4)))</f>
        <v>2</v>
      </c>
      <c r="U11" s="4">
        <f>IF(Data!U11&lt;=QUARTILE(Data!U$4:U$195,1),1,IF(Data!U11&lt;=MEDIAN(Data!U$4:U$195),2,IF(Data!U11&lt;=QUARTILE(Data!U$4:U$195,3),3,4)))</f>
        <v>4</v>
      </c>
      <c r="V11" s="3">
        <f>IF(Data!V11&lt;=QUARTILE(Data!V$4:V$195,1),1,IF(Data!V11&lt;=MEDIAN(Data!V$4:V$195),2,IF(Data!V11&lt;=QUARTILE(Data!V$4:V$195,3),3,4)))</f>
        <v>4</v>
      </c>
      <c r="W11" s="3">
        <f>IF(Data!W11&lt;=QUARTILE(Data!W$4:W$195,1),1,IF(Data!W11&lt;=MEDIAN(Data!W$4:W$195),2,IF(Data!W11&lt;=QUARTILE(Data!W$4:W$195,3),3,4)))</f>
        <v>2</v>
      </c>
      <c r="X11" s="3">
        <f>IF(Data!X11&lt;=QUARTILE(Data!X$4:X$195,1),1,IF(Data!X11&lt;=MEDIAN(Data!X$4:X$195),2,IF(Data!X11&lt;=QUARTILE(Data!X$4:X$195,3),3,4)))</f>
        <v>3</v>
      </c>
      <c r="Y11" s="4">
        <f>IF(Data!Y11&lt;=QUARTILE(Data!Y$4:Y$195,1),1,IF(Data!Y11&lt;=MEDIAN(Data!Y$4:Y$195),2,IF(Data!Y11&lt;=QUARTILE(Data!Y$4:Y$195,3),3,4)))</f>
        <v>3</v>
      </c>
      <c r="Z11" s="5">
        <f>IF(Data!Z11&lt;=QUARTILE(Data!Z$4:Z$195,1),1,IF(Data!Z11&lt;=MEDIAN(Data!Z$4:Z$195),2,IF(Data!Z11&lt;=QUARTILE(Data!Z$4:Z$195,3),3,4)))</f>
        <v>3</v>
      </c>
      <c r="AA11" s="4">
        <f>IF(Data!AA11&lt;=QUARTILE(Data!AA$4:AA$195,1),1,IF(Data!AA11&lt;=MEDIAN(Data!AA$4:AA$195),2,IF(Data!AA11&lt;=QUARTILE(Data!AA$4:AA$195,3),3,4)))</f>
        <v>3</v>
      </c>
      <c r="AB11" s="5">
        <f>IF(Data!AB11&lt;=QUARTILE(Data!AB$4:AB$195,1),1,IF(Data!AB11&lt;=MEDIAN(Data!AB$4:AB$195),2,IF(Data!AB11&lt;=QUARTILE(Data!AB$4:AB$195,3),3,4)))</f>
        <v>4</v>
      </c>
      <c r="AC11" s="4">
        <f>IF(Data!AC11&lt;=QUARTILE(Data!AC$4:AC$195,1),1,IF(Data!AC11&lt;=MEDIAN(Data!AC$4:AC$195),2,IF(Data!AC11&lt;=QUARTILE(Data!AC$4:AC$195,3),3,4)))</f>
        <v>3</v>
      </c>
      <c r="AD11" s="5">
        <f>IF(Data!AD11&lt;=QUARTILE(Data!AD$4:AD$195,1),1,IF(Data!AD11&lt;=MEDIAN(Data!AD$4:AD$195),2,IF(Data!AD11&lt;=QUARTILE(Data!AD$4:AD$195,3),3,4)))</f>
        <v>4</v>
      </c>
      <c r="AE11" s="4">
        <f>IF(Data!AE11&lt;=QUARTILE(Data!AE$4:AE$195,1),1,IF(Data!AE11&lt;=MEDIAN(Data!AE$4:AE$195),2,IF(Data!AE11&lt;=QUARTILE(Data!AE$4:AE$195,3),3,4)))</f>
        <v>2</v>
      </c>
      <c r="AF11" s="3">
        <f>IF(Data!AF11&lt;=QUARTILE(Data!AF$4:AF$195,1),1,IF(Data!AF11&lt;=MEDIAN(Data!AF$4:AF$195),2,IF(Data!AF11&lt;=QUARTILE(Data!AF$4:AF$195,3),3,4)))</f>
        <v>3</v>
      </c>
      <c r="AG11" s="3">
        <f>IF(Data!AG11&lt;=QUARTILE(Data!AG$4:AG$195,1),1,IF(Data!AG11&lt;=MEDIAN(Data!AG$4:AG$195),2,IF(Data!AG11&lt;=QUARTILE(Data!AG$4:AG$195,3),3,4)))</f>
        <v>1</v>
      </c>
      <c r="AH11" s="3">
        <f>IF(Data!AH11&lt;=QUARTILE(Data!AH$4:AH$195,1),1,IF(Data!AH11&lt;=MEDIAN(Data!AH$4:AH$195),2,IF(Data!AH11&lt;=QUARTILE(Data!AH$4:AH$195,3),3,4)))</f>
        <v>1</v>
      </c>
      <c r="AI11" s="4">
        <f>IF(Data!AI11&lt;=QUARTILE(Data!AI$4:AI$195,1),1,IF(Data!AI11&lt;=MEDIAN(Data!AI$4:AI$195),2,IF(Data!AI11&lt;=QUARTILE(Data!AI$4:AI$195,3),3,4)))</f>
        <v>4</v>
      </c>
      <c r="AJ11" s="5">
        <f>IF(Data!AJ11&lt;=QUARTILE(Data!AJ$4:AJ$195,1),1,IF(Data!AJ11&lt;=MEDIAN(Data!AJ$4:AJ$195),2,IF(Data!AJ11&lt;=QUARTILE(Data!AJ$4:AJ$195,3),3,4)))</f>
        <v>1</v>
      </c>
      <c r="AK11" s="4">
        <f>IF(Data!AK11&lt;=QUARTILE(Data!AK$4:AK$195,1),1,IF(Data!AK11&lt;=MEDIAN(Data!AK$4:AK$195),2,IF(Data!AK11&lt;=QUARTILE(Data!AK$4:AK$195,3),3,4)))</f>
        <v>3</v>
      </c>
      <c r="AL11" s="3">
        <f>IF(Data!AL11&lt;=QUARTILE(Data!AL$4:AL$195,1),1,IF(Data!AL11&lt;=MEDIAN(Data!AL$4:AL$195),2,IF(Data!AL11&lt;=QUARTILE(Data!AL$4:AL$195,3),3,4)))</f>
        <v>4</v>
      </c>
      <c r="AM11" s="3">
        <f>IF(Data!AM11&lt;=QUARTILE(Data!AM$4:AM$195,1),1,IF(Data!AM11&lt;=MEDIAN(Data!AM$4:AM$195),2,IF(Data!AM11&lt;=QUARTILE(Data!AM$4:AM$195,3),3,4)))</f>
        <v>4</v>
      </c>
      <c r="AN11" s="5">
        <f>IF(Data!AN11&lt;=QUARTILE(Data!AN$4:AN$195,1),1,IF(Data!AN11&lt;=MEDIAN(Data!AN$4:AN$195),2,IF(Data!AN11&lt;=QUARTILE(Data!AN$4:AN$195,3),3,4)))</f>
        <v>4</v>
      </c>
      <c r="AO11" s="4">
        <f>IF(Data!AO11&lt;=QUARTILE(Data!AO$4:AO$195,1),1,IF(Data!AO11&lt;=MEDIAN(Data!AO$4:AO$195),2,IF(Data!AO11&lt;=QUARTILE(Data!AO$4:AO$195,3),3,4)))</f>
        <v>2</v>
      </c>
      <c r="AP11" s="3">
        <f>IF(Data!AP11&lt;=QUARTILE(Data!AP$4:AP$195,1),1,IF(Data!AP11&lt;=MEDIAN(Data!AP$4:AP$195),2,IF(Data!AP11&lt;=QUARTILE(Data!AP$4:AP$195,3),3,4)))</f>
        <v>3</v>
      </c>
      <c r="AQ11" s="3">
        <f>IF(Data!AQ11&lt;=QUARTILE(Data!AQ$4:AQ$195,1),1,IF(Data!AQ11&lt;=MEDIAN(Data!AQ$4:AQ$195),2,IF(Data!AQ11&lt;=QUARTILE(Data!AQ$4:AQ$195,3),3,4)))</f>
        <v>4</v>
      </c>
      <c r="AR11" s="3">
        <f>IF(Data!AR11&lt;=QUARTILE(Data!AR$4:AR$195,1),1,IF(Data!AR11&lt;=MEDIAN(Data!AR$4:AR$195),2,IF(Data!AR11&lt;=QUARTILE(Data!AR$4:AR$195,3),3,4)))</f>
        <v>3</v>
      </c>
      <c r="AS11" s="3">
        <f>IF(Data!AS11&lt;=QUARTILE(Data!AS$4:AS$195,1),1,IF(Data!AS11&lt;=MEDIAN(Data!AS$4:AS$195),2,IF(Data!AS11&lt;=QUARTILE(Data!AS$4:AS$195,3),3,4)))</f>
        <v>4</v>
      </c>
      <c r="AT11" s="3">
        <f>IF(Data!AT11&lt;=QUARTILE(Data!AT$4:AT$195,1),1,IF(Data!AT11&lt;=MEDIAN(Data!AT$4:AT$195),2,IF(Data!AT11&lt;=QUARTILE(Data!AT$4:AT$195,3),3,4)))</f>
        <v>3</v>
      </c>
      <c r="AU11" s="5">
        <f>IF(Data!AU11&lt;=QUARTILE(Data!AU$4:AU$195,1),1,IF(Data!AU11&lt;=MEDIAN(Data!AU$4:AU$195),2,IF(Data!AU11&lt;=QUARTILE(Data!AU$4:AU$195,3),3,4)))</f>
        <v>3</v>
      </c>
      <c r="AV11" s="4">
        <f>IF(Data!AV11&lt;=QUARTILE(Data!AV$4:AV$195,1),1,IF(Data!AV11&lt;=MEDIAN(Data!AV$4:AV$195),2,IF(Data!AV11&lt;=QUARTILE(Data!AV$4:AV$195,3),3,4)))</f>
        <v>4</v>
      </c>
      <c r="AW11" s="3">
        <f>IF(Data!AW11&lt;=QUARTILE(Data!AW$4:AW$195,1),1,IF(Data!AW11&lt;=MEDIAN(Data!AW$4:AW$195),2,IF(Data!AW11&lt;=QUARTILE(Data!AW$4:AW$195,3),3,4)))</f>
        <v>4</v>
      </c>
      <c r="AX11" s="3">
        <f>IF(Data!AX11&lt;=QUARTILE(Data!AX$4:AX$195,1),1,IF(Data!AX11&lt;=MEDIAN(Data!AX$4:AX$195),2,IF(Data!AX11&lt;=QUARTILE(Data!AX$4:AX$195,3),3,4)))</f>
        <v>3</v>
      </c>
      <c r="AY11" s="3">
        <f>IF(Data!AY11&lt;=QUARTILE(Data!AY$4:AY$195,1),1,IF(Data!AY11&lt;=MEDIAN(Data!AY$4:AY$195),2,IF(Data!AY11&lt;=QUARTILE(Data!AY$4:AY$195,3),3,4)))</f>
        <v>4</v>
      </c>
      <c r="AZ11" s="4">
        <f>IF(Data!AZ11&lt;=QUARTILE(Data!AZ$4:AZ$195,1),1,IF(Data!AZ11&lt;=MEDIAN(Data!AZ$4:AZ$195),2,IF(Data!AZ11&lt;=QUARTILE(Data!AZ$4:AZ$195,3),3,4)))</f>
        <v>1</v>
      </c>
      <c r="BA11" s="5">
        <f>IF(Data!BA11&lt;=QUARTILE(Data!BA$4:BA$195,1),1,IF(Data!BA11&lt;=MEDIAN(Data!BA$4:BA$195),2,IF(Data!BA11&lt;=QUARTILE(Data!BA$4:BA$195,3),3,4)))</f>
        <v>1</v>
      </c>
    </row>
    <row r="12" spans="1:53" x14ac:dyDescent="0.25">
      <c r="A12" s="4" t="s">
        <v>19</v>
      </c>
      <c r="B12" s="40">
        <v>2009</v>
      </c>
      <c r="C12" s="4">
        <v>11</v>
      </c>
      <c r="D12" s="3">
        <v>5</v>
      </c>
      <c r="E12" s="71" t="s">
        <v>97</v>
      </c>
      <c r="F12" s="3">
        <v>7.1</v>
      </c>
      <c r="G12" s="3">
        <v>0.4</v>
      </c>
      <c r="H12" s="5">
        <v>6.7</v>
      </c>
      <c r="I12" s="4">
        <f>IF(Data!I12&lt;=QUARTILE(Data!I$4:I$195,1),1,IF(Data!I12&lt;=MEDIAN(Data!I$4:I$195),2,IF(Data!I12&lt;=QUARTILE(Data!I$4:I$195,3),3,4)))</f>
        <v>3</v>
      </c>
      <c r="J12" s="3">
        <f>IF(Data!J12&lt;=QUARTILE(Data!J$4:J$195,1),1,IF(Data!J12&lt;=MEDIAN(Data!J$4:J$195),2,IF(Data!J12&lt;=QUARTILE(Data!J$4:J$195,3),3,4)))</f>
        <v>4</v>
      </c>
      <c r="K12" s="3">
        <f>IF(Data!K12&lt;=QUARTILE(Data!K$4:K$195,1),1,IF(Data!K12&lt;=MEDIAN(Data!K$4:K$195),2,IF(Data!K12&lt;=QUARTILE(Data!K$4:K$195,3),3,4)))</f>
        <v>3</v>
      </c>
      <c r="L12" s="5">
        <f>IF(Data!L12&lt;=QUARTILE(Data!L$4:L$195,1),1,IF(Data!L12&lt;=MEDIAN(Data!L$4:L$195),2,IF(Data!L12&lt;=QUARTILE(Data!L$4:L$195,3),3,4)))</f>
        <v>4</v>
      </c>
      <c r="M12" s="4">
        <f>IF(Data!M12&lt;=QUARTILE(Data!M$4:M$195,1),1,IF(Data!M12&lt;=MEDIAN(Data!M$4:M$195),2,IF(Data!M12&lt;=QUARTILE(Data!M$4:M$195,3),3,4)))</f>
        <v>4</v>
      </c>
      <c r="N12" s="3">
        <f>IF(Data!N12&lt;=QUARTILE(Data!N$4:N$195,1),1,IF(Data!N12&lt;=MEDIAN(Data!N$4:N$195),2,IF(Data!N12&lt;=QUARTILE(Data!N$4:N$195,3),3,4)))</f>
        <v>3</v>
      </c>
      <c r="O12" s="3">
        <f>IF(Data!O12&lt;=QUARTILE(Data!O$4:O$195,1),1,IF(Data!O12&lt;=MEDIAN(Data!O$4:O$195),2,IF(Data!O12&lt;=QUARTILE(Data!O$4:O$195,3),3,4)))</f>
        <v>4</v>
      </c>
      <c r="P12" s="3">
        <f>IF(Data!P12&lt;=QUARTILE(Data!P$4:P$195,1),1,IF(Data!P12&lt;=MEDIAN(Data!P$4:P$195),2,IF(Data!P12&lt;=QUARTILE(Data!P$4:P$195,3),3,4)))</f>
        <v>3</v>
      </c>
      <c r="Q12" s="3">
        <f>IF(Data!Q12&lt;=QUARTILE(Data!Q$4:Q$195,1),1,IF(Data!Q12&lt;=MEDIAN(Data!Q$4:Q$195),2,IF(Data!Q12&lt;=QUARTILE(Data!Q$4:Q$195,3),3,4)))</f>
        <v>4</v>
      </c>
      <c r="R12" s="3">
        <f>IF(Data!R12&lt;=QUARTILE(Data!R$4:R$195,1),1,IF(Data!R12&lt;=MEDIAN(Data!R$4:R$195),2,IF(Data!R12&lt;=QUARTILE(Data!R$4:R$195,3),3,4)))</f>
        <v>4</v>
      </c>
      <c r="S12" s="3">
        <f>IF(Data!S12&lt;=QUARTILE(Data!S$4:S$195,1),1,IF(Data!S12&lt;=MEDIAN(Data!S$4:S$195),2,IF(Data!S12&lt;=QUARTILE(Data!S$4:S$195,3),3,4)))</f>
        <v>2</v>
      </c>
      <c r="T12" s="5">
        <f>IF(Data!T12&lt;=QUARTILE(Data!T$4:T$195,1),1,IF(Data!T12&lt;=MEDIAN(Data!T$4:T$195),2,IF(Data!T12&lt;=QUARTILE(Data!T$4:T$195,3),3,4)))</f>
        <v>2</v>
      </c>
      <c r="U12" s="4">
        <f>IF(Data!U12&lt;=QUARTILE(Data!U$4:U$195,1),1,IF(Data!U12&lt;=MEDIAN(Data!U$4:U$195),2,IF(Data!U12&lt;=QUARTILE(Data!U$4:U$195,3),3,4)))</f>
        <v>2</v>
      </c>
      <c r="V12" s="3">
        <f>IF(Data!V12&lt;=QUARTILE(Data!V$4:V$195,1),1,IF(Data!V12&lt;=MEDIAN(Data!V$4:V$195),2,IF(Data!V12&lt;=QUARTILE(Data!V$4:V$195,3),3,4)))</f>
        <v>4</v>
      </c>
      <c r="W12" s="3">
        <f>IF(Data!W12&lt;=QUARTILE(Data!W$4:W$195,1),1,IF(Data!W12&lt;=MEDIAN(Data!W$4:W$195),2,IF(Data!W12&lt;=QUARTILE(Data!W$4:W$195,3),3,4)))</f>
        <v>3</v>
      </c>
      <c r="X12" s="3">
        <f>IF(Data!X12&lt;=QUARTILE(Data!X$4:X$195,1),1,IF(Data!X12&lt;=MEDIAN(Data!X$4:X$195),2,IF(Data!X12&lt;=QUARTILE(Data!X$4:X$195,3),3,4)))</f>
        <v>3</v>
      </c>
      <c r="Y12" s="4">
        <f>IF(Data!Y12&lt;=QUARTILE(Data!Y$4:Y$195,1),1,IF(Data!Y12&lt;=MEDIAN(Data!Y$4:Y$195),2,IF(Data!Y12&lt;=QUARTILE(Data!Y$4:Y$195,3),3,4)))</f>
        <v>1</v>
      </c>
      <c r="Z12" s="5">
        <f>IF(Data!Z12&lt;=QUARTILE(Data!Z$4:Z$195,1),1,IF(Data!Z12&lt;=MEDIAN(Data!Z$4:Z$195),2,IF(Data!Z12&lt;=QUARTILE(Data!Z$4:Z$195,3),3,4)))</f>
        <v>1</v>
      </c>
      <c r="AA12" s="4">
        <f>IF(Data!AA12&lt;=QUARTILE(Data!AA$4:AA$195,1),1,IF(Data!AA12&lt;=MEDIAN(Data!AA$4:AA$195),2,IF(Data!AA12&lt;=QUARTILE(Data!AA$4:AA$195,3),3,4)))</f>
        <v>3</v>
      </c>
      <c r="AB12" s="5">
        <f>IF(Data!AB12&lt;=QUARTILE(Data!AB$4:AB$195,1),1,IF(Data!AB12&lt;=MEDIAN(Data!AB$4:AB$195),2,IF(Data!AB12&lt;=QUARTILE(Data!AB$4:AB$195,3),3,4)))</f>
        <v>4</v>
      </c>
      <c r="AC12" s="4">
        <f>IF(Data!AC12&lt;=QUARTILE(Data!AC$4:AC$195,1),1,IF(Data!AC12&lt;=MEDIAN(Data!AC$4:AC$195),2,IF(Data!AC12&lt;=QUARTILE(Data!AC$4:AC$195,3),3,4)))</f>
        <v>1</v>
      </c>
      <c r="AD12" s="5">
        <f>IF(Data!AD12&lt;=QUARTILE(Data!AD$4:AD$195,1),1,IF(Data!AD12&lt;=MEDIAN(Data!AD$4:AD$195),2,IF(Data!AD12&lt;=QUARTILE(Data!AD$4:AD$195,3),3,4)))</f>
        <v>1</v>
      </c>
      <c r="AE12" s="4">
        <f>IF(Data!AE12&lt;=QUARTILE(Data!AE$4:AE$195,1),1,IF(Data!AE12&lt;=MEDIAN(Data!AE$4:AE$195),2,IF(Data!AE12&lt;=QUARTILE(Data!AE$4:AE$195,3),3,4)))</f>
        <v>2</v>
      </c>
      <c r="AF12" s="3">
        <f>IF(Data!AF12&lt;=QUARTILE(Data!AF$4:AF$195,1),1,IF(Data!AF12&lt;=MEDIAN(Data!AF$4:AF$195),2,IF(Data!AF12&lt;=QUARTILE(Data!AF$4:AF$195,3),3,4)))</f>
        <v>1</v>
      </c>
      <c r="AG12" s="3">
        <f>IF(Data!AG12&lt;=QUARTILE(Data!AG$4:AG$195,1),1,IF(Data!AG12&lt;=MEDIAN(Data!AG$4:AG$195),2,IF(Data!AG12&lt;=QUARTILE(Data!AG$4:AG$195,3),3,4)))</f>
        <v>4</v>
      </c>
      <c r="AH12" s="3">
        <f>IF(Data!AH12&lt;=QUARTILE(Data!AH$4:AH$195,1),1,IF(Data!AH12&lt;=MEDIAN(Data!AH$4:AH$195),2,IF(Data!AH12&lt;=QUARTILE(Data!AH$4:AH$195,3),3,4)))</f>
        <v>2</v>
      </c>
      <c r="AI12" s="4">
        <f>IF(Data!AI12&lt;=QUARTILE(Data!AI$4:AI$195,1),1,IF(Data!AI12&lt;=MEDIAN(Data!AI$4:AI$195),2,IF(Data!AI12&lt;=QUARTILE(Data!AI$4:AI$195,3),3,4)))</f>
        <v>2</v>
      </c>
      <c r="AJ12" s="5">
        <f>IF(Data!AJ12&lt;=QUARTILE(Data!AJ$4:AJ$195,1),1,IF(Data!AJ12&lt;=MEDIAN(Data!AJ$4:AJ$195),2,IF(Data!AJ12&lt;=QUARTILE(Data!AJ$4:AJ$195,3),3,4)))</f>
        <v>1</v>
      </c>
      <c r="AK12" s="4">
        <f>IF(Data!AK12&lt;=QUARTILE(Data!AK$4:AK$195,1),1,IF(Data!AK12&lt;=MEDIAN(Data!AK$4:AK$195),2,IF(Data!AK12&lt;=QUARTILE(Data!AK$4:AK$195,3),3,4)))</f>
        <v>1</v>
      </c>
      <c r="AL12" s="3">
        <f>IF(Data!AL12&lt;=QUARTILE(Data!AL$4:AL$195,1),1,IF(Data!AL12&lt;=MEDIAN(Data!AL$4:AL$195),2,IF(Data!AL12&lt;=QUARTILE(Data!AL$4:AL$195,3),3,4)))</f>
        <v>2</v>
      </c>
      <c r="AM12" s="3">
        <f>IF(Data!AM12&lt;=QUARTILE(Data!AM$4:AM$195,1),1,IF(Data!AM12&lt;=MEDIAN(Data!AM$4:AM$195),2,IF(Data!AM12&lt;=QUARTILE(Data!AM$4:AM$195,3),3,4)))</f>
        <v>2</v>
      </c>
      <c r="AN12" s="5">
        <f>IF(Data!AN12&lt;=QUARTILE(Data!AN$4:AN$195,1),1,IF(Data!AN12&lt;=MEDIAN(Data!AN$4:AN$195),2,IF(Data!AN12&lt;=QUARTILE(Data!AN$4:AN$195,3),3,4)))</f>
        <v>2</v>
      </c>
      <c r="AO12" s="4">
        <f>IF(Data!AO12&lt;=QUARTILE(Data!AO$4:AO$195,1),1,IF(Data!AO12&lt;=MEDIAN(Data!AO$4:AO$195),2,IF(Data!AO12&lt;=QUARTILE(Data!AO$4:AO$195,3),3,4)))</f>
        <v>4</v>
      </c>
      <c r="AP12" s="3">
        <f>IF(Data!AP12&lt;=QUARTILE(Data!AP$4:AP$195,1),1,IF(Data!AP12&lt;=MEDIAN(Data!AP$4:AP$195),2,IF(Data!AP12&lt;=QUARTILE(Data!AP$4:AP$195,3),3,4)))</f>
        <v>4</v>
      </c>
      <c r="AQ12" s="3">
        <f>IF(Data!AQ12&lt;=QUARTILE(Data!AQ$4:AQ$195,1),1,IF(Data!AQ12&lt;=MEDIAN(Data!AQ$4:AQ$195),2,IF(Data!AQ12&lt;=QUARTILE(Data!AQ$4:AQ$195,3),3,4)))</f>
        <v>3</v>
      </c>
      <c r="AR12" s="3">
        <f>IF(Data!AR12&lt;=QUARTILE(Data!AR$4:AR$195,1),1,IF(Data!AR12&lt;=MEDIAN(Data!AR$4:AR$195),2,IF(Data!AR12&lt;=QUARTILE(Data!AR$4:AR$195,3),3,4)))</f>
        <v>2</v>
      </c>
      <c r="AS12" s="3">
        <f>IF(Data!AS12&lt;=QUARTILE(Data!AS$4:AS$195,1),1,IF(Data!AS12&lt;=MEDIAN(Data!AS$4:AS$195),2,IF(Data!AS12&lt;=QUARTILE(Data!AS$4:AS$195,3),3,4)))</f>
        <v>3</v>
      </c>
      <c r="AT12" s="3">
        <f>IF(Data!AT12&lt;=QUARTILE(Data!AT$4:AT$195,1),1,IF(Data!AT12&lt;=MEDIAN(Data!AT$4:AT$195),2,IF(Data!AT12&lt;=QUARTILE(Data!AT$4:AT$195,3),3,4)))</f>
        <v>4</v>
      </c>
      <c r="AU12" s="5">
        <f>IF(Data!AU12&lt;=QUARTILE(Data!AU$4:AU$195,1),1,IF(Data!AU12&lt;=MEDIAN(Data!AU$4:AU$195),2,IF(Data!AU12&lt;=QUARTILE(Data!AU$4:AU$195,3),3,4)))</f>
        <v>4</v>
      </c>
      <c r="AV12" s="4">
        <f>IF(Data!AV12&lt;=QUARTILE(Data!AV$4:AV$195,1),1,IF(Data!AV12&lt;=MEDIAN(Data!AV$4:AV$195),2,IF(Data!AV12&lt;=QUARTILE(Data!AV$4:AV$195,3),3,4)))</f>
        <v>1</v>
      </c>
      <c r="AW12" s="3">
        <f>IF(Data!AW12&lt;=QUARTILE(Data!AW$4:AW$195,1),1,IF(Data!AW12&lt;=MEDIAN(Data!AW$4:AW$195),2,IF(Data!AW12&lt;=QUARTILE(Data!AW$4:AW$195,3),3,4)))</f>
        <v>1</v>
      </c>
      <c r="AX12" s="3">
        <f>IF(Data!AX12&lt;=QUARTILE(Data!AX$4:AX$195,1),1,IF(Data!AX12&lt;=MEDIAN(Data!AX$4:AX$195),2,IF(Data!AX12&lt;=QUARTILE(Data!AX$4:AX$195,3),3,4)))</f>
        <v>1</v>
      </c>
      <c r="AY12" s="3">
        <f>IF(Data!AY12&lt;=QUARTILE(Data!AY$4:AY$195,1),1,IF(Data!AY12&lt;=MEDIAN(Data!AY$4:AY$195),2,IF(Data!AY12&lt;=QUARTILE(Data!AY$4:AY$195,3),3,4)))</f>
        <v>1</v>
      </c>
      <c r="AZ12" s="4">
        <f>IF(Data!AZ12&lt;=QUARTILE(Data!AZ$4:AZ$195,1),1,IF(Data!AZ12&lt;=MEDIAN(Data!AZ$4:AZ$195),2,IF(Data!AZ12&lt;=QUARTILE(Data!AZ$4:AZ$195,3),3,4)))</f>
        <v>1</v>
      </c>
      <c r="BA12" s="5">
        <f>IF(Data!BA12&lt;=QUARTILE(Data!BA$4:BA$195,1),1,IF(Data!BA12&lt;=MEDIAN(Data!BA$4:BA$195),2,IF(Data!BA12&lt;=QUARTILE(Data!BA$4:BA$195,3),3,4)))</f>
        <v>2</v>
      </c>
    </row>
    <row r="13" spans="1:53" x14ac:dyDescent="0.25">
      <c r="A13" s="4" t="s">
        <v>16</v>
      </c>
      <c r="B13" s="40">
        <v>2009</v>
      </c>
      <c r="C13" s="4">
        <v>8</v>
      </c>
      <c r="D13" s="3">
        <v>8</v>
      </c>
      <c r="E13" s="71" t="s">
        <v>96</v>
      </c>
      <c r="F13" s="3">
        <v>0.3</v>
      </c>
      <c r="G13" s="3">
        <v>-1</v>
      </c>
      <c r="H13" s="5">
        <v>1.3</v>
      </c>
      <c r="I13" s="4">
        <f>IF(Data!I13&lt;=QUARTILE(Data!I$4:I$195,1),1,IF(Data!I13&lt;=MEDIAN(Data!I$4:I$195),2,IF(Data!I13&lt;=QUARTILE(Data!I$4:I$195,3),3,4)))</f>
        <v>2</v>
      </c>
      <c r="J13" s="3">
        <f>IF(Data!J13&lt;=QUARTILE(Data!J$4:J$195,1),1,IF(Data!J13&lt;=MEDIAN(Data!J$4:J$195),2,IF(Data!J13&lt;=QUARTILE(Data!J$4:J$195,3),3,4)))</f>
        <v>3</v>
      </c>
      <c r="K13" s="3">
        <f>IF(Data!K13&lt;=QUARTILE(Data!K$4:K$195,1),1,IF(Data!K13&lt;=MEDIAN(Data!K$4:K$195),2,IF(Data!K13&lt;=QUARTILE(Data!K$4:K$195,3),3,4)))</f>
        <v>4</v>
      </c>
      <c r="L13" s="5">
        <f>IF(Data!L13&lt;=QUARTILE(Data!L$4:L$195,1),1,IF(Data!L13&lt;=MEDIAN(Data!L$4:L$195),2,IF(Data!L13&lt;=QUARTILE(Data!L$4:L$195,3),3,4)))</f>
        <v>3</v>
      </c>
      <c r="M13" s="4">
        <f>IF(Data!M13&lt;=QUARTILE(Data!M$4:M$195,1),1,IF(Data!M13&lt;=MEDIAN(Data!M$4:M$195),2,IF(Data!M13&lt;=QUARTILE(Data!M$4:M$195,3),3,4)))</f>
        <v>3</v>
      </c>
      <c r="N13" s="3">
        <f>IF(Data!N13&lt;=QUARTILE(Data!N$4:N$195,1),1,IF(Data!N13&lt;=MEDIAN(Data!N$4:N$195),2,IF(Data!N13&lt;=QUARTILE(Data!N$4:N$195,3),3,4)))</f>
        <v>4</v>
      </c>
      <c r="O13" s="3">
        <f>IF(Data!O13&lt;=QUARTILE(Data!O$4:O$195,1),1,IF(Data!O13&lt;=MEDIAN(Data!O$4:O$195),2,IF(Data!O13&lt;=QUARTILE(Data!O$4:O$195,3),3,4)))</f>
        <v>3</v>
      </c>
      <c r="P13" s="3">
        <f>IF(Data!P13&lt;=QUARTILE(Data!P$4:P$195,1),1,IF(Data!P13&lt;=MEDIAN(Data!P$4:P$195),2,IF(Data!P13&lt;=QUARTILE(Data!P$4:P$195,3),3,4)))</f>
        <v>2</v>
      </c>
      <c r="Q13" s="3">
        <f>IF(Data!Q13&lt;=QUARTILE(Data!Q$4:Q$195,1),1,IF(Data!Q13&lt;=MEDIAN(Data!Q$4:Q$195),2,IF(Data!Q13&lt;=QUARTILE(Data!Q$4:Q$195,3),3,4)))</f>
        <v>3</v>
      </c>
      <c r="R13" s="3">
        <f>IF(Data!R13&lt;=QUARTILE(Data!R$4:R$195,1),1,IF(Data!R13&lt;=MEDIAN(Data!R$4:R$195),2,IF(Data!R13&lt;=QUARTILE(Data!R$4:R$195,3),3,4)))</f>
        <v>3</v>
      </c>
      <c r="S13" s="3">
        <f>IF(Data!S13&lt;=QUARTILE(Data!S$4:S$195,1),1,IF(Data!S13&lt;=MEDIAN(Data!S$4:S$195),2,IF(Data!S13&lt;=QUARTILE(Data!S$4:S$195,3),3,4)))</f>
        <v>2</v>
      </c>
      <c r="T13" s="5">
        <f>IF(Data!T13&lt;=QUARTILE(Data!T$4:T$195,1),1,IF(Data!T13&lt;=MEDIAN(Data!T$4:T$195),2,IF(Data!T13&lt;=QUARTILE(Data!T$4:T$195,3),3,4)))</f>
        <v>2</v>
      </c>
      <c r="U13" s="4">
        <f>IF(Data!U13&lt;=QUARTILE(Data!U$4:U$195,1),1,IF(Data!U13&lt;=MEDIAN(Data!U$4:U$195),2,IF(Data!U13&lt;=QUARTILE(Data!U$4:U$195,3),3,4)))</f>
        <v>3</v>
      </c>
      <c r="V13" s="3">
        <f>IF(Data!V13&lt;=QUARTILE(Data!V$4:V$195,1),1,IF(Data!V13&lt;=MEDIAN(Data!V$4:V$195),2,IF(Data!V13&lt;=QUARTILE(Data!V$4:V$195,3),3,4)))</f>
        <v>3</v>
      </c>
      <c r="W13" s="3">
        <f>IF(Data!W13&lt;=QUARTILE(Data!W$4:W$195,1),1,IF(Data!W13&lt;=MEDIAN(Data!W$4:W$195),2,IF(Data!W13&lt;=QUARTILE(Data!W$4:W$195,3),3,4)))</f>
        <v>1</v>
      </c>
      <c r="X13" s="3">
        <f>IF(Data!X13&lt;=QUARTILE(Data!X$4:X$195,1),1,IF(Data!X13&lt;=MEDIAN(Data!X$4:X$195),2,IF(Data!X13&lt;=QUARTILE(Data!X$4:X$195,3),3,4)))</f>
        <v>2</v>
      </c>
      <c r="Y13" s="4">
        <f>IF(Data!Y13&lt;=QUARTILE(Data!Y$4:Y$195,1),1,IF(Data!Y13&lt;=MEDIAN(Data!Y$4:Y$195),2,IF(Data!Y13&lt;=QUARTILE(Data!Y$4:Y$195,3),3,4)))</f>
        <v>1</v>
      </c>
      <c r="Z13" s="5">
        <f>IF(Data!Z13&lt;=QUARTILE(Data!Z$4:Z$195,1),1,IF(Data!Z13&lt;=MEDIAN(Data!Z$4:Z$195),2,IF(Data!Z13&lt;=QUARTILE(Data!Z$4:Z$195,3),3,4)))</f>
        <v>1</v>
      </c>
      <c r="AA13" s="4">
        <f>IF(Data!AA13&lt;=QUARTILE(Data!AA$4:AA$195,1),1,IF(Data!AA13&lt;=MEDIAN(Data!AA$4:AA$195),2,IF(Data!AA13&lt;=QUARTILE(Data!AA$4:AA$195,3),3,4)))</f>
        <v>4</v>
      </c>
      <c r="AB13" s="5">
        <f>IF(Data!AB13&lt;=QUARTILE(Data!AB$4:AB$195,1),1,IF(Data!AB13&lt;=MEDIAN(Data!AB$4:AB$195),2,IF(Data!AB13&lt;=QUARTILE(Data!AB$4:AB$195,3),3,4)))</f>
        <v>4</v>
      </c>
      <c r="AC13" s="4">
        <f>IF(Data!AC13&lt;=QUARTILE(Data!AC$4:AC$195,1),1,IF(Data!AC13&lt;=MEDIAN(Data!AC$4:AC$195),2,IF(Data!AC13&lt;=QUARTILE(Data!AC$4:AC$195,3),3,4)))</f>
        <v>1</v>
      </c>
      <c r="AD13" s="5">
        <f>IF(Data!AD13&lt;=QUARTILE(Data!AD$4:AD$195,1),1,IF(Data!AD13&lt;=MEDIAN(Data!AD$4:AD$195),2,IF(Data!AD13&lt;=QUARTILE(Data!AD$4:AD$195,3),3,4)))</f>
        <v>1</v>
      </c>
      <c r="AE13" s="4">
        <f>IF(Data!AE13&lt;=QUARTILE(Data!AE$4:AE$195,1),1,IF(Data!AE13&lt;=MEDIAN(Data!AE$4:AE$195),2,IF(Data!AE13&lt;=QUARTILE(Data!AE$4:AE$195,3),3,4)))</f>
        <v>4</v>
      </c>
      <c r="AF13" s="3">
        <f>IF(Data!AF13&lt;=QUARTILE(Data!AF$4:AF$195,1),1,IF(Data!AF13&lt;=MEDIAN(Data!AF$4:AF$195),2,IF(Data!AF13&lt;=QUARTILE(Data!AF$4:AF$195,3),3,4)))</f>
        <v>4</v>
      </c>
      <c r="AG13" s="3">
        <f>IF(Data!AG13&lt;=QUARTILE(Data!AG$4:AG$195,1),1,IF(Data!AG13&lt;=MEDIAN(Data!AG$4:AG$195),2,IF(Data!AG13&lt;=QUARTILE(Data!AG$4:AG$195,3),3,4)))</f>
        <v>3</v>
      </c>
      <c r="AH13" s="3">
        <f>IF(Data!AH13&lt;=QUARTILE(Data!AH$4:AH$195,1),1,IF(Data!AH13&lt;=MEDIAN(Data!AH$4:AH$195),2,IF(Data!AH13&lt;=QUARTILE(Data!AH$4:AH$195,3),3,4)))</f>
        <v>3</v>
      </c>
      <c r="AI13" s="4">
        <f>IF(Data!AI13&lt;=QUARTILE(Data!AI$4:AI$195,1),1,IF(Data!AI13&lt;=MEDIAN(Data!AI$4:AI$195),2,IF(Data!AI13&lt;=QUARTILE(Data!AI$4:AI$195,3),3,4)))</f>
        <v>3</v>
      </c>
      <c r="AJ13" s="5">
        <f>IF(Data!AJ13&lt;=QUARTILE(Data!AJ$4:AJ$195,1),1,IF(Data!AJ13&lt;=MEDIAN(Data!AJ$4:AJ$195),2,IF(Data!AJ13&lt;=QUARTILE(Data!AJ$4:AJ$195,3),3,4)))</f>
        <v>1</v>
      </c>
      <c r="AK13" s="4">
        <f>IF(Data!AK13&lt;=QUARTILE(Data!AK$4:AK$195,1),1,IF(Data!AK13&lt;=MEDIAN(Data!AK$4:AK$195),2,IF(Data!AK13&lt;=QUARTILE(Data!AK$4:AK$195,3),3,4)))</f>
        <v>2</v>
      </c>
      <c r="AL13" s="3">
        <f>IF(Data!AL13&lt;=QUARTILE(Data!AL$4:AL$195,1),1,IF(Data!AL13&lt;=MEDIAN(Data!AL$4:AL$195),2,IF(Data!AL13&lt;=QUARTILE(Data!AL$4:AL$195,3),3,4)))</f>
        <v>2</v>
      </c>
      <c r="AM13" s="3">
        <f>IF(Data!AM13&lt;=QUARTILE(Data!AM$4:AM$195,1),1,IF(Data!AM13&lt;=MEDIAN(Data!AM$4:AM$195),2,IF(Data!AM13&lt;=QUARTILE(Data!AM$4:AM$195,3),3,4)))</f>
        <v>3</v>
      </c>
      <c r="AN13" s="5">
        <f>IF(Data!AN13&lt;=QUARTILE(Data!AN$4:AN$195,1),1,IF(Data!AN13&lt;=MEDIAN(Data!AN$4:AN$195),2,IF(Data!AN13&lt;=QUARTILE(Data!AN$4:AN$195,3),3,4)))</f>
        <v>2</v>
      </c>
      <c r="AO13" s="4">
        <f>IF(Data!AO13&lt;=QUARTILE(Data!AO$4:AO$195,1),1,IF(Data!AO13&lt;=MEDIAN(Data!AO$4:AO$195),2,IF(Data!AO13&lt;=QUARTILE(Data!AO$4:AO$195,3),3,4)))</f>
        <v>2</v>
      </c>
      <c r="AP13" s="3">
        <f>IF(Data!AP13&lt;=QUARTILE(Data!AP$4:AP$195,1),1,IF(Data!AP13&lt;=MEDIAN(Data!AP$4:AP$195),2,IF(Data!AP13&lt;=QUARTILE(Data!AP$4:AP$195,3),3,4)))</f>
        <v>2</v>
      </c>
      <c r="AQ13" s="3">
        <f>IF(Data!AQ13&lt;=QUARTILE(Data!AQ$4:AQ$195,1),1,IF(Data!AQ13&lt;=MEDIAN(Data!AQ$4:AQ$195),2,IF(Data!AQ13&lt;=QUARTILE(Data!AQ$4:AQ$195,3),3,4)))</f>
        <v>1</v>
      </c>
      <c r="AR13" s="3">
        <f>IF(Data!AR13&lt;=QUARTILE(Data!AR$4:AR$195,1),1,IF(Data!AR13&lt;=MEDIAN(Data!AR$4:AR$195),2,IF(Data!AR13&lt;=QUARTILE(Data!AR$4:AR$195,3),3,4)))</f>
        <v>1</v>
      </c>
      <c r="AS13" s="3">
        <f>IF(Data!AS13&lt;=QUARTILE(Data!AS$4:AS$195,1),1,IF(Data!AS13&lt;=MEDIAN(Data!AS$4:AS$195),2,IF(Data!AS13&lt;=QUARTILE(Data!AS$4:AS$195,3),3,4)))</f>
        <v>2</v>
      </c>
      <c r="AT13" s="3">
        <f>IF(Data!AT13&lt;=QUARTILE(Data!AT$4:AT$195,1),1,IF(Data!AT13&lt;=MEDIAN(Data!AT$4:AT$195),2,IF(Data!AT13&lt;=QUARTILE(Data!AT$4:AT$195,3),3,4)))</f>
        <v>3</v>
      </c>
      <c r="AU13" s="5">
        <f>IF(Data!AU13&lt;=QUARTILE(Data!AU$4:AU$195,1),1,IF(Data!AU13&lt;=MEDIAN(Data!AU$4:AU$195),2,IF(Data!AU13&lt;=QUARTILE(Data!AU$4:AU$195,3),3,4)))</f>
        <v>3</v>
      </c>
      <c r="AV13" s="4">
        <f>IF(Data!AV13&lt;=QUARTILE(Data!AV$4:AV$195,1),1,IF(Data!AV13&lt;=MEDIAN(Data!AV$4:AV$195),2,IF(Data!AV13&lt;=QUARTILE(Data!AV$4:AV$195,3),3,4)))</f>
        <v>3</v>
      </c>
      <c r="AW13" s="3">
        <f>IF(Data!AW13&lt;=QUARTILE(Data!AW$4:AW$195,1),1,IF(Data!AW13&lt;=MEDIAN(Data!AW$4:AW$195),2,IF(Data!AW13&lt;=QUARTILE(Data!AW$4:AW$195,3),3,4)))</f>
        <v>4</v>
      </c>
      <c r="AX13" s="3">
        <f>IF(Data!AX13&lt;=QUARTILE(Data!AX$4:AX$195,1),1,IF(Data!AX13&lt;=MEDIAN(Data!AX$4:AX$195),2,IF(Data!AX13&lt;=QUARTILE(Data!AX$4:AX$195,3),3,4)))</f>
        <v>2</v>
      </c>
      <c r="AY13" s="3">
        <f>IF(Data!AY13&lt;=QUARTILE(Data!AY$4:AY$195,1),1,IF(Data!AY13&lt;=MEDIAN(Data!AY$4:AY$195),2,IF(Data!AY13&lt;=QUARTILE(Data!AY$4:AY$195,3),3,4)))</f>
        <v>3</v>
      </c>
      <c r="AZ13" s="4">
        <f>IF(Data!AZ13&lt;=QUARTILE(Data!AZ$4:AZ$195,1),1,IF(Data!AZ13&lt;=MEDIAN(Data!AZ$4:AZ$195),2,IF(Data!AZ13&lt;=QUARTILE(Data!AZ$4:AZ$195,3),3,4)))</f>
        <v>3</v>
      </c>
      <c r="BA13" s="5">
        <f>IF(Data!BA13&lt;=QUARTILE(Data!BA$4:BA$195,1),1,IF(Data!BA13&lt;=MEDIAN(Data!BA$4:BA$195),2,IF(Data!BA13&lt;=QUARTILE(Data!BA$4:BA$195,3),3,4)))</f>
        <v>3</v>
      </c>
    </row>
    <row r="14" spans="1:53" x14ac:dyDescent="0.25">
      <c r="A14" s="4" t="s">
        <v>26</v>
      </c>
      <c r="B14" s="40">
        <v>2009</v>
      </c>
      <c r="C14" s="4">
        <v>2</v>
      </c>
      <c r="D14" s="3">
        <v>14</v>
      </c>
      <c r="E14" s="71" t="s">
        <v>96</v>
      </c>
      <c r="F14" s="3">
        <v>-14.4</v>
      </c>
      <c r="G14" s="3">
        <v>-5.2</v>
      </c>
      <c r="H14" s="5">
        <v>-9.1999999999999993</v>
      </c>
      <c r="I14" s="4">
        <f>IF(Data!I14&lt;=QUARTILE(Data!I$4:I$195,1),1,IF(Data!I14&lt;=MEDIAN(Data!I$4:I$195),2,IF(Data!I14&lt;=QUARTILE(Data!I$4:I$195,3),3,4)))</f>
        <v>1</v>
      </c>
      <c r="J14" s="3">
        <f>IF(Data!J14&lt;=QUARTILE(Data!J$4:J$195,1),1,IF(Data!J14&lt;=MEDIAN(Data!J$4:J$195),2,IF(Data!J14&lt;=QUARTILE(Data!J$4:J$195,3),3,4)))</f>
        <v>1</v>
      </c>
      <c r="K14" s="3">
        <f>IF(Data!K14&lt;=QUARTILE(Data!K$4:K$195,1),1,IF(Data!K14&lt;=MEDIAN(Data!K$4:K$195),2,IF(Data!K14&lt;=QUARTILE(Data!K$4:K$195,3),3,4)))</f>
        <v>4</v>
      </c>
      <c r="L14" s="5">
        <f>IF(Data!L14&lt;=QUARTILE(Data!L$4:L$195,1),1,IF(Data!L14&lt;=MEDIAN(Data!L$4:L$195),2,IF(Data!L14&lt;=QUARTILE(Data!L$4:L$195,3),3,4)))</f>
        <v>2</v>
      </c>
      <c r="M14" s="4">
        <f>IF(Data!M14&lt;=QUARTILE(Data!M$4:M$195,1),1,IF(Data!M14&lt;=MEDIAN(Data!M$4:M$195),2,IF(Data!M14&lt;=QUARTILE(Data!M$4:M$195,3),3,4)))</f>
        <v>3</v>
      </c>
      <c r="N14" s="3">
        <f>IF(Data!N14&lt;=QUARTILE(Data!N$4:N$195,1),1,IF(Data!N14&lt;=MEDIAN(Data!N$4:N$195),2,IF(Data!N14&lt;=QUARTILE(Data!N$4:N$195,3),3,4)))</f>
        <v>4</v>
      </c>
      <c r="O14" s="3">
        <f>IF(Data!O14&lt;=QUARTILE(Data!O$4:O$195,1),1,IF(Data!O14&lt;=MEDIAN(Data!O$4:O$195),2,IF(Data!O14&lt;=QUARTILE(Data!O$4:O$195,3),3,4)))</f>
        <v>2</v>
      </c>
      <c r="P14" s="3">
        <f>IF(Data!P14&lt;=QUARTILE(Data!P$4:P$195,1),1,IF(Data!P14&lt;=MEDIAN(Data!P$4:P$195),2,IF(Data!P14&lt;=QUARTILE(Data!P$4:P$195,3),3,4)))</f>
        <v>1</v>
      </c>
      <c r="Q14" s="3">
        <f>IF(Data!Q14&lt;=QUARTILE(Data!Q$4:Q$195,1),1,IF(Data!Q14&lt;=MEDIAN(Data!Q$4:Q$195),2,IF(Data!Q14&lt;=QUARTILE(Data!Q$4:Q$195,3),3,4)))</f>
        <v>2</v>
      </c>
      <c r="R14" s="3">
        <f>IF(Data!R14&lt;=QUARTILE(Data!R$4:R$195,1),1,IF(Data!R14&lt;=MEDIAN(Data!R$4:R$195),2,IF(Data!R14&lt;=QUARTILE(Data!R$4:R$195,3),3,4)))</f>
        <v>1</v>
      </c>
      <c r="S14" s="3">
        <f>IF(Data!S14&lt;=QUARTILE(Data!S$4:S$195,1),1,IF(Data!S14&lt;=MEDIAN(Data!S$4:S$195),2,IF(Data!S14&lt;=QUARTILE(Data!S$4:S$195,3),3,4)))</f>
        <v>3</v>
      </c>
      <c r="T14" s="5">
        <f>IF(Data!T14&lt;=QUARTILE(Data!T$4:T$195,1),1,IF(Data!T14&lt;=MEDIAN(Data!T$4:T$195),2,IF(Data!T14&lt;=QUARTILE(Data!T$4:T$195,3),3,4)))</f>
        <v>4</v>
      </c>
      <c r="U14" s="4">
        <f>IF(Data!U14&lt;=QUARTILE(Data!U$4:U$195,1),1,IF(Data!U14&lt;=MEDIAN(Data!U$4:U$195),2,IF(Data!U14&lt;=QUARTILE(Data!U$4:U$195,3),3,4)))</f>
        <v>2</v>
      </c>
      <c r="V14" s="3">
        <f>IF(Data!V14&lt;=QUARTILE(Data!V$4:V$195,1),1,IF(Data!V14&lt;=MEDIAN(Data!V$4:V$195),2,IF(Data!V14&lt;=QUARTILE(Data!V$4:V$195,3),3,4)))</f>
        <v>2</v>
      </c>
      <c r="W14" s="3">
        <f>IF(Data!W14&lt;=QUARTILE(Data!W$4:W$195,1),1,IF(Data!W14&lt;=MEDIAN(Data!W$4:W$195),2,IF(Data!W14&lt;=QUARTILE(Data!W$4:W$195,3),3,4)))</f>
        <v>1</v>
      </c>
      <c r="X14" s="3">
        <f>IF(Data!X14&lt;=QUARTILE(Data!X$4:X$195,1),1,IF(Data!X14&lt;=MEDIAN(Data!X$4:X$195),2,IF(Data!X14&lt;=QUARTILE(Data!X$4:X$195,3),3,4)))</f>
        <v>1</v>
      </c>
      <c r="Y14" s="4">
        <f>IF(Data!Y14&lt;=QUARTILE(Data!Y$4:Y$195,1),1,IF(Data!Y14&lt;=MEDIAN(Data!Y$4:Y$195),2,IF(Data!Y14&lt;=QUARTILE(Data!Y$4:Y$195,3),3,4)))</f>
        <v>4</v>
      </c>
      <c r="Z14" s="5">
        <f>IF(Data!Z14&lt;=QUARTILE(Data!Z$4:Z$195,1),1,IF(Data!Z14&lt;=MEDIAN(Data!Z$4:Z$195),2,IF(Data!Z14&lt;=QUARTILE(Data!Z$4:Z$195,3),3,4)))</f>
        <v>1</v>
      </c>
      <c r="AA14" s="4">
        <f>IF(Data!AA14&lt;=QUARTILE(Data!AA$4:AA$195,1),1,IF(Data!AA14&lt;=MEDIAN(Data!AA$4:AA$195),2,IF(Data!AA14&lt;=QUARTILE(Data!AA$4:AA$195,3),3,4)))</f>
        <v>1</v>
      </c>
      <c r="AB14" s="5">
        <f>IF(Data!AB14&lt;=QUARTILE(Data!AB$4:AB$195,1),1,IF(Data!AB14&lt;=MEDIAN(Data!AB$4:AB$195),2,IF(Data!AB14&lt;=QUARTILE(Data!AB$4:AB$195,3),3,4)))</f>
        <v>1</v>
      </c>
      <c r="AC14" s="4">
        <f>IF(Data!AC14&lt;=QUARTILE(Data!AC$4:AC$195,1),1,IF(Data!AC14&lt;=MEDIAN(Data!AC$4:AC$195),2,IF(Data!AC14&lt;=QUARTILE(Data!AC$4:AC$195,3),3,4)))</f>
        <v>4</v>
      </c>
      <c r="AD14" s="5">
        <f>IF(Data!AD14&lt;=QUARTILE(Data!AD$4:AD$195,1),1,IF(Data!AD14&lt;=MEDIAN(Data!AD$4:AD$195),2,IF(Data!AD14&lt;=QUARTILE(Data!AD$4:AD$195,3),3,4)))</f>
        <v>4</v>
      </c>
      <c r="AE14" s="4">
        <f>IF(Data!AE14&lt;=QUARTILE(Data!AE$4:AE$195,1),1,IF(Data!AE14&lt;=MEDIAN(Data!AE$4:AE$195),2,IF(Data!AE14&lt;=QUARTILE(Data!AE$4:AE$195,3),3,4)))</f>
        <v>1</v>
      </c>
      <c r="AF14" s="3">
        <f>IF(Data!AF14&lt;=QUARTILE(Data!AF$4:AF$195,1),1,IF(Data!AF14&lt;=MEDIAN(Data!AF$4:AF$195),2,IF(Data!AF14&lt;=QUARTILE(Data!AF$4:AF$195,3),3,4)))</f>
        <v>1</v>
      </c>
      <c r="AG14" s="3">
        <f>IF(Data!AG14&lt;=QUARTILE(Data!AG$4:AG$195,1),1,IF(Data!AG14&lt;=MEDIAN(Data!AG$4:AG$195),2,IF(Data!AG14&lt;=QUARTILE(Data!AG$4:AG$195,3),3,4)))</f>
        <v>3</v>
      </c>
      <c r="AH14" s="3">
        <f>IF(Data!AH14&lt;=QUARTILE(Data!AH$4:AH$195,1),1,IF(Data!AH14&lt;=MEDIAN(Data!AH$4:AH$195),2,IF(Data!AH14&lt;=QUARTILE(Data!AH$4:AH$195,3),3,4)))</f>
        <v>2</v>
      </c>
      <c r="AI14" s="4">
        <f>IF(Data!AI14&lt;=QUARTILE(Data!AI$4:AI$195,1),1,IF(Data!AI14&lt;=MEDIAN(Data!AI$4:AI$195),2,IF(Data!AI14&lt;=QUARTILE(Data!AI$4:AI$195,3),3,4)))</f>
        <v>2</v>
      </c>
      <c r="AJ14" s="5">
        <f>IF(Data!AJ14&lt;=QUARTILE(Data!AJ$4:AJ$195,1),1,IF(Data!AJ14&lt;=MEDIAN(Data!AJ$4:AJ$195),2,IF(Data!AJ14&lt;=QUARTILE(Data!AJ$4:AJ$195,3),3,4)))</f>
        <v>1</v>
      </c>
      <c r="AK14" s="4">
        <f>IF(Data!AK14&lt;=QUARTILE(Data!AK$4:AK$195,1),1,IF(Data!AK14&lt;=MEDIAN(Data!AK$4:AK$195),2,IF(Data!AK14&lt;=QUARTILE(Data!AK$4:AK$195,3),3,4)))</f>
        <v>4</v>
      </c>
      <c r="AL14" s="3">
        <f>IF(Data!AL14&lt;=QUARTILE(Data!AL$4:AL$195,1),1,IF(Data!AL14&lt;=MEDIAN(Data!AL$4:AL$195),2,IF(Data!AL14&lt;=QUARTILE(Data!AL$4:AL$195,3),3,4)))</f>
        <v>4</v>
      </c>
      <c r="AM14" s="3">
        <f>IF(Data!AM14&lt;=QUARTILE(Data!AM$4:AM$195,1),1,IF(Data!AM14&lt;=MEDIAN(Data!AM$4:AM$195),2,IF(Data!AM14&lt;=QUARTILE(Data!AM$4:AM$195,3),3,4)))</f>
        <v>3</v>
      </c>
      <c r="AN14" s="5">
        <f>IF(Data!AN14&lt;=QUARTILE(Data!AN$4:AN$195,1),1,IF(Data!AN14&lt;=MEDIAN(Data!AN$4:AN$195),2,IF(Data!AN14&lt;=QUARTILE(Data!AN$4:AN$195,3),3,4)))</f>
        <v>4</v>
      </c>
      <c r="AO14" s="4">
        <f>IF(Data!AO14&lt;=QUARTILE(Data!AO$4:AO$195,1),1,IF(Data!AO14&lt;=MEDIAN(Data!AO$4:AO$195),2,IF(Data!AO14&lt;=QUARTILE(Data!AO$4:AO$195,3),3,4)))</f>
        <v>4</v>
      </c>
      <c r="AP14" s="3">
        <f>IF(Data!AP14&lt;=QUARTILE(Data!AP$4:AP$195,1),1,IF(Data!AP14&lt;=MEDIAN(Data!AP$4:AP$195),2,IF(Data!AP14&lt;=QUARTILE(Data!AP$4:AP$195,3),3,4)))</f>
        <v>3</v>
      </c>
      <c r="AQ14" s="3">
        <f>IF(Data!AQ14&lt;=QUARTILE(Data!AQ$4:AQ$195,1),1,IF(Data!AQ14&lt;=MEDIAN(Data!AQ$4:AQ$195),2,IF(Data!AQ14&lt;=QUARTILE(Data!AQ$4:AQ$195,3),3,4)))</f>
        <v>4</v>
      </c>
      <c r="AR14" s="3">
        <f>IF(Data!AR14&lt;=QUARTILE(Data!AR$4:AR$195,1),1,IF(Data!AR14&lt;=MEDIAN(Data!AR$4:AR$195),2,IF(Data!AR14&lt;=QUARTILE(Data!AR$4:AR$195,3),3,4)))</f>
        <v>4</v>
      </c>
      <c r="AS14" s="3">
        <f>IF(Data!AS14&lt;=QUARTILE(Data!AS$4:AS$195,1),1,IF(Data!AS14&lt;=MEDIAN(Data!AS$4:AS$195),2,IF(Data!AS14&lt;=QUARTILE(Data!AS$4:AS$195,3),3,4)))</f>
        <v>4</v>
      </c>
      <c r="AT14" s="3">
        <f>IF(Data!AT14&lt;=QUARTILE(Data!AT$4:AT$195,1),1,IF(Data!AT14&lt;=MEDIAN(Data!AT$4:AT$195),2,IF(Data!AT14&lt;=QUARTILE(Data!AT$4:AT$195,3),3,4)))</f>
        <v>1</v>
      </c>
      <c r="AU14" s="5">
        <f>IF(Data!AU14&lt;=QUARTILE(Data!AU$4:AU$195,1),1,IF(Data!AU14&lt;=MEDIAN(Data!AU$4:AU$195),2,IF(Data!AU14&lt;=QUARTILE(Data!AU$4:AU$195,3),3,4)))</f>
        <v>1</v>
      </c>
      <c r="AV14" s="4">
        <f>IF(Data!AV14&lt;=QUARTILE(Data!AV$4:AV$195,1),1,IF(Data!AV14&lt;=MEDIAN(Data!AV$4:AV$195),2,IF(Data!AV14&lt;=QUARTILE(Data!AV$4:AV$195,3),3,4)))</f>
        <v>3</v>
      </c>
      <c r="AW14" s="3">
        <f>IF(Data!AW14&lt;=QUARTILE(Data!AW$4:AW$195,1),1,IF(Data!AW14&lt;=MEDIAN(Data!AW$4:AW$195),2,IF(Data!AW14&lt;=QUARTILE(Data!AW$4:AW$195,3),3,4)))</f>
        <v>3</v>
      </c>
      <c r="AX14" s="3">
        <f>IF(Data!AX14&lt;=QUARTILE(Data!AX$4:AX$195,1),1,IF(Data!AX14&lt;=MEDIAN(Data!AX$4:AX$195),2,IF(Data!AX14&lt;=QUARTILE(Data!AX$4:AX$195,3),3,4)))</f>
        <v>4</v>
      </c>
      <c r="AY14" s="3">
        <f>IF(Data!AY14&lt;=QUARTILE(Data!AY$4:AY$195,1),1,IF(Data!AY14&lt;=MEDIAN(Data!AY$4:AY$195),2,IF(Data!AY14&lt;=QUARTILE(Data!AY$4:AY$195,3),3,4)))</f>
        <v>2</v>
      </c>
      <c r="AZ14" s="4">
        <f>IF(Data!AZ14&lt;=QUARTILE(Data!AZ$4:AZ$195,1),1,IF(Data!AZ14&lt;=MEDIAN(Data!AZ$4:AZ$195),2,IF(Data!AZ14&lt;=QUARTILE(Data!AZ$4:AZ$195,3),3,4)))</f>
        <v>1</v>
      </c>
      <c r="BA14" s="5">
        <f>IF(Data!BA14&lt;=QUARTILE(Data!BA$4:BA$195,1),1,IF(Data!BA14&lt;=MEDIAN(Data!BA$4:BA$195),2,IF(Data!BA14&lt;=QUARTILE(Data!BA$4:BA$195,3),3,4)))</f>
        <v>3</v>
      </c>
    </row>
    <row r="15" spans="1:53" x14ac:dyDescent="0.25">
      <c r="A15" s="4" t="s">
        <v>24</v>
      </c>
      <c r="B15" s="40">
        <v>2009</v>
      </c>
      <c r="C15" s="4">
        <v>11</v>
      </c>
      <c r="D15" s="3">
        <v>5</v>
      </c>
      <c r="E15" s="71" t="s">
        <v>97</v>
      </c>
      <c r="F15" s="3">
        <v>7.4</v>
      </c>
      <c r="G15" s="3">
        <v>6.3</v>
      </c>
      <c r="H15" s="5">
        <v>1.1000000000000001</v>
      </c>
      <c r="I15" s="4">
        <f>IF(Data!I15&lt;=QUARTILE(Data!I$4:I$195,1),1,IF(Data!I15&lt;=MEDIAN(Data!I$4:I$195),2,IF(Data!I15&lt;=QUARTILE(Data!I$4:I$195,3),3,4)))</f>
        <v>4</v>
      </c>
      <c r="J15" s="3">
        <f>IF(Data!J15&lt;=QUARTILE(Data!J$4:J$195,1),1,IF(Data!J15&lt;=MEDIAN(Data!J$4:J$195),2,IF(Data!J15&lt;=QUARTILE(Data!J$4:J$195,3),3,4)))</f>
        <v>4</v>
      </c>
      <c r="K15" s="3">
        <f>IF(Data!K15&lt;=QUARTILE(Data!K$4:K$195,1),1,IF(Data!K15&lt;=MEDIAN(Data!K$4:K$195),2,IF(Data!K15&lt;=QUARTILE(Data!K$4:K$195,3),3,4)))</f>
        <v>4</v>
      </c>
      <c r="L15" s="5">
        <f>IF(Data!L15&lt;=QUARTILE(Data!L$4:L$195,1),1,IF(Data!L15&lt;=MEDIAN(Data!L$4:L$195),2,IF(Data!L15&lt;=QUARTILE(Data!L$4:L$195,3),3,4)))</f>
        <v>4</v>
      </c>
      <c r="M15" s="4">
        <f>IF(Data!M15&lt;=QUARTILE(Data!M$4:M$195,1),1,IF(Data!M15&lt;=MEDIAN(Data!M$4:M$195),2,IF(Data!M15&lt;=QUARTILE(Data!M$4:M$195,3),3,4)))</f>
        <v>4</v>
      </c>
      <c r="N15" s="3">
        <f>IF(Data!N15&lt;=QUARTILE(Data!N$4:N$195,1),1,IF(Data!N15&lt;=MEDIAN(Data!N$4:N$195),2,IF(Data!N15&lt;=QUARTILE(Data!N$4:N$195,3),3,4)))</f>
        <v>3</v>
      </c>
      <c r="O15" s="3">
        <f>IF(Data!O15&lt;=QUARTILE(Data!O$4:O$195,1),1,IF(Data!O15&lt;=MEDIAN(Data!O$4:O$195),2,IF(Data!O15&lt;=QUARTILE(Data!O$4:O$195,3),3,4)))</f>
        <v>4</v>
      </c>
      <c r="P15" s="3">
        <f>IF(Data!P15&lt;=QUARTILE(Data!P$4:P$195,1),1,IF(Data!P15&lt;=MEDIAN(Data!P$4:P$195),2,IF(Data!P15&lt;=QUARTILE(Data!P$4:P$195,3),3,4)))</f>
        <v>4</v>
      </c>
      <c r="Q15" s="3">
        <f>IF(Data!Q15&lt;=QUARTILE(Data!Q$4:Q$195,1),1,IF(Data!Q15&lt;=MEDIAN(Data!Q$4:Q$195),2,IF(Data!Q15&lt;=QUARTILE(Data!Q$4:Q$195,3),3,4)))</f>
        <v>4</v>
      </c>
      <c r="R15" s="3">
        <f>IF(Data!R15&lt;=QUARTILE(Data!R$4:R$195,1),1,IF(Data!R15&lt;=MEDIAN(Data!R$4:R$195),2,IF(Data!R15&lt;=QUARTILE(Data!R$4:R$195,3),3,4)))</f>
        <v>4</v>
      </c>
      <c r="S15" s="3">
        <f>IF(Data!S15&lt;=QUARTILE(Data!S$4:S$195,1),1,IF(Data!S15&lt;=MEDIAN(Data!S$4:S$195),2,IF(Data!S15&lt;=QUARTILE(Data!S$4:S$195,3),3,4)))</f>
        <v>4</v>
      </c>
      <c r="T15" s="5">
        <f>IF(Data!T15&lt;=QUARTILE(Data!T$4:T$195,1),1,IF(Data!T15&lt;=MEDIAN(Data!T$4:T$195),2,IF(Data!T15&lt;=QUARTILE(Data!T$4:T$195,3),3,4)))</f>
        <v>4</v>
      </c>
      <c r="U15" s="4">
        <f>IF(Data!U15&lt;=QUARTILE(Data!U$4:U$195,1),1,IF(Data!U15&lt;=MEDIAN(Data!U$4:U$195),2,IF(Data!U15&lt;=QUARTILE(Data!U$4:U$195,3),3,4)))</f>
        <v>2</v>
      </c>
      <c r="V15" s="3">
        <f>IF(Data!V15&lt;=QUARTILE(Data!V$4:V$195,1),1,IF(Data!V15&lt;=MEDIAN(Data!V$4:V$195),2,IF(Data!V15&lt;=QUARTILE(Data!V$4:V$195,3),3,4)))</f>
        <v>3</v>
      </c>
      <c r="W15" s="3">
        <f>IF(Data!W15&lt;=QUARTILE(Data!W$4:W$195,1),1,IF(Data!W15&lt;=MEDIAN(Data!W$4:W$195),2,IF(Data!W15&lt;=QUARTILE(Data!W$4:W$195,3),3,4)))</f>
        <v>4</v>
      </c>
      <c r="X15" s="3">
        <f>IF(Data!X15&lt;=QUARTILE(Data!X$4:X$195,1),1,IF(Data!X15&lt;=MEDIAN(Data!X$4:X$195),2,IF(Data!X15&lt;=QUARTILE(Data!X$4:X$195,3),3,4)))</f>
        <v>3</v>
      </c>
      <c r="Y15" s="4">
        <f>IF(Data!Y15&lt;=QUARTILE(Data!Y$4:Y$195,1),1,IF(Data!Y15&lt;=MEDIAN(Data!Y$4:Y$195),2,IF(Data!Y15&lt;=QUARTILE(Data!Y$4:Y$195,3),3,4)))</f>
        <v>1</v>
      </c>
      <c r="Z15" s="5">
        <f>IF(Data!Z15&lt;=QUARTILE(Data!Z$4:Z$195,1),1,IF(Data!Z15&lt;=MEDIAN(Data!Z$4:Z$195),2,IF(Data!Z15&lt;=QUARTILE(Data!Z$4:Z$195,3),3,4)))</f>
        <v>1</v>
      </c>
      <c r="AA15" s="4">
        <f>IF(Data!AA15&lt;=QUARTILE(Data!AA$4:AA$195,1),1,IF(Data!AA15&lt;=MEDIAN(Data!AA$4:AA$195),2,IF(Data!AA15&lt;=QUARTILE(Data!AA$4:AA$195,3),3,4)))</f>
        <v>2</v>
      </c>
      <c r="AB15" s="5">
        <f>IF(Data!AB15&lt;=QUARTILE(Data!AB$4:AB$195,1),1,IF(Data!AB15&lt;=MEDIAN(Data!AB$4:AB$195),2,IF(Data!AB15&lt;=QUARTILE(Data!AB$4:AB$195,3),3,4)))</f>
        <v>1</v>
      </c>
      <c r="AC15" s="4">
        <f>IF(Data!AC15&lt;=QUARTILE(Data!AC$4:AC$195,1),1,IF(Data!AC15&lt;=MEDIAN(Data!AC$4:AC$195),2,IF(Data!AC15&lt;=QUARTILE(Data!AC$4:AC$195,3),3,4)))</f>
        <v>1</v>
      </c>
      <c r="AD15" s="5">
        <f>IF(Data!AD15&lt;=QUARTILE(Data!AD$4:AD$195,1),1,IF(Data!AD15&lt;=MEDIAN(Data!AD$4:AD$195),2,IF(Data!AD15&lt;=QUARTILE(Data!AD$4:AD$195,3),3,4)))</f>
        <v>1</v>
      </c>
      <c r="AE15" s="4">
        <f>IF(Data!AE15&lt;=QUARTILE(Data!AE$4:AE$195,1),1,IF(Data!AE15&lt;=MEDIAN(Data!AE$4:AE$195),2,IF(Data!AE15&lt;=QUARTILE(Data!AE$4:AE$195,3),3,4)))</f>
        <v>4</v>
      </c>
      <c r="AF15" s="3">
        <f>IF(Data!AF15&lt;=QUARTILE(Data!AF$4:AF$195,1),1,IF(Data!AF15&lt;=MEDIAN(Data!AF$4:AF$195),2,IF(Data!AF15&lt;=QUARTILE(Data!AF$4:AF$195,3),3,4)))</f>
        <v>4</v>
      </c>
      <c r="AG15" s="3">
        <f>IF(Data!AG15&lt;=QUARTILE(Data!AG$4:AG$195,1),1,IF(Data!AG15&lt;=MEDIAN(Data!AG$4:AG$195),2,IF(Data!AG15&lt;=QUARTILE(Data!AG$4:AG$195,3),3,4)))</f>
        <v>3</v>
      </c>
      <c r="AH15" s="3">
        <f>IF(Data!AH15&lt;=QUARTILE(Data!AH$4:AH$195,1),1,IF(Data!AH15&lt;=MEDIAN(Data!AH$4:AH$195),2,IF(Data!AH15&lt;=QUARTILE(Data!AH$4:AH$195,3),3,4)))</f>
        <v>1</v>
      </c>
      <c r="AI15" s="4">
        <f>IF(Data!AI15&lt;=QUARTILE(Data!AI$4:AI$195,1),1,IF(Data!AI15&lt;=MEDIAN(Data!AI$4:AI$195),2,IF(Data!AI15&lt;=QUARTILE(Data!AI$4:AI$195,3),3,4)))</f>
        <v>1</v>
      </c>
      <c r="AJ15" s="5">
        <f>IF(Data!AJ15&lt;=QUARTILE(Data!AJ$4:AJ$195,1),1,IF(Data!AJ15&lt;=MEDIAN(Data!AJ$4:AJ$195),2,IF(Data!AJ15&lt;=QUARTILE(Data!AJ$4:AJ$195,3),3,4)))</f>
        <v>1</v>
      </c>
      <c r="AK15" s="4">
        <f>IF(Data!AK15&lt;=QUARTILE(Data!AK$4:AK$195,1),1,IF(Data!AK15&lt;=MEDIAN(Data!AK$4:AK$195),2,IF(Data!AK15&lt;=QUARTILE(Data!AK$4:AK$195,3),3,4)))</f>
        <v>1</v>
      </c>
      <c r="AL15" s="3">
        <f>IF(Data!AL15&lt;=QUARTILE(Data!AL$4:AL$195,1),1,IF(Data!AL15&lt;=MEDIAN(Data!AL$4:AL$195),2,IF(Data!AL15&lt;=QUARTILE(Data!AL$4:AL$195,3),3,4)))</f>
        <v>1</v>
      </c>
      <c r="AM15" s="3">
        <f>IF(Data!AM15&lt;=QUARTILE(Data!AM$4:AM$195,1),1,IF(Data!AM15&lt;=MEDIAN(Data!AM$4:AM$195),2,IF(Data!AM15&lt;=QUARTILE(Data!AM$4:AM$195,3),3,4)))</f>
        <v>1</v>
      </c>
      <c r="AN15" s="5">
        <f>IF(Data!AN15&lt;=QUARTILE(Data!AN$4:AN$195,1),1,IF(Data!AN15&lt;=MEDIAN(Data!AN$4:AN$195),2,IF(Data!AN15&lt;=QUARTILE(Data!AN$4:AN$195,3),3,4)))</f>
        <v>1</v>
      </c>
      <c r="AO15" s="4">
        <f>IF(Data!AO15&lt;=QUARTILE(Data!AO$4:AO$195,1),1,IF(Data!AO15&lt;=MEDIAN(Data!AO$4:AO$195),2,IF(Data!AO15&lt;=QUARTILE(Data!AO$4:AO$195,3),3,4)))</f>
        <v>2</v>
      </c>
      <c r="AP15" s="3">
        <f>IF(Data!AP15&lt;=QUARTILE(Data!AP$4:AP$195,1),1,IF(Data!AP15&lt;=MEDIAN(Data!AP$4:AP$195),2,IF(Data!AP15&lt;=QUARTILE(Data!AP$4:AP$195,3),3,4)))</f>
        <v>3</v>
      </c>
      <c r="AQ15" s="3">
        <f>IF(Data!AQ15&lt;=QUARTILE(Data!AQ$4:AQ$195,1),1,IF(Data!AQ15&lt;=MEDIAN(Data!AQ$4:AQ$195),2,IF(Data!AQ15&lt;=QUARTILE(Data!AQ$4:AQ$195,3),3,4)))</f>
        <v>2</v>
      </c>
      <c r="AR15" s="3">
        <f>IF(Data!AR15&lt;=QUARTILE(Data!AR$4:AR$195,1),1,IF(Data!AR15&lt;=MEDIAN(Data!AR$4:AR$195),2,IF(Data!AR15&lt;=QUARTILE(Data!AR$4:AR$195,3),3,4)))</f>
        <v>4</v>
      </c>
      <c r="AS15" s="3">
        <f>IF(Data!AS15&lt;=QUARTILE(Data!AS$4:AS$195,1),1,IF(Data!AS15&lt;=MEDIAN(Data!AS$4:AS$195),2,IF(Data!AS15&lt;=QUARTILE(Data!AS$4:AS$195,3),3,4)))</f>
        <v>2</v>
      </c>
      <c r="AT15" s="3">
        <f>IF(Data!AT15&lt;=QUARTILE(Data!AT$4:AT$195,1),1,IF(Data!AT15&lt;=MEDIAN(Data!AT$4:AT$195),2,IF(Data!AT15&lt;=QUARTILE(Data!AT$4:AT$195,3),3,4)))</f>
        <v>3</v>
      </c>
      <c r="AU15" s="5">
        <f>IF(Data!AU15&lt;=QUARTILE(Data!AU$4:AU$195,1),1,IF(Data!AU15&lt;=MEDIAN(Data!AU$4:AU$195),2,IF(Data!AU15&lt;=QUARTILE(Data!AU$4:AU$195,3),3,4)))</f>
        <v>3</v>
      </c>
      <c r="AV15" s="4">
        <f>IF(Data!AV15&lt;=QUARTILE(Data!AV$4:AV$195,1),1,IF(Data!AV15&lt;=MEDIAN(Data!AV$4:AV$195),2,IF(Data!AV15&lt;=QUARTILE(Data!AV$4:AV$195,3),3,4)))</f>
        <v>1</v>
      </c>
      <c r="AW15" s="3">
        <f>IF(Data!AW15&lt;=QUARTILE(Data!AW$4:AW$195,1),1,IF(Data!AW15&lt;=MEDIAN(Data!AW$4:AW$195),2,IF(Data!AW15&lt;=QUARTILE(Data!AW$4:AW$195,3),3,4)))</f>
        <v>1</v>
      </c>
      <c r="AX15" s="3">
        <f>IF(Data!AX15&lt;=QUARTILE(Data!AX$4:AX$195,1),1,IF(Data!AX15&lt;=MEDIAN(Data!AX$4:AX$195),2,IF(Data!AX15&lt;=QUARTILE(Data!AX$4:AX$195,3),3,4)))</f>
        <v>1</v>
      </c>
      <c r="AY15" s="3">
        <f>IF(Data!AY15&lt;=QUARTILE(Data!AY$4:AY$195,1),1,IF(Data!AY15&lt;=MEDIAN(Data!AY$4:AY$195),2,IF(Data!AY15&lt;=QUARTILE(Data!AY$4:AY$195,3),3,4)))</f>
        <v>1</v>
      </c>
      <c r="AZ15" s="4">
        <f>IF(Data!AZ15&lt;=QUARTILE(Data!AZ$4:AZ$195,1),1,IF(Data!AZ15&lt;=MEDIAN(Data!AZ$4:AZ$195),2,IF(Data!AZ15&lt;=QUARTILE(Data!AZ$4:AZ$195,3),3,4)))</f>
        <v>4</v>
      </c>
      <c r="BA15" s="5">
        <f>IF(Data!BA15&lt;=QUARTILE(Data!BA$4:BA$195,1),1,IF(Data!BA15&lt;=MEDIAN(Data!BA$4:BA$195),2,IF(Data!BA15&lt;=QUARTILE(Data!BA$4:BA$195,3),3,4)))</f>
        <v>2</v>
      </c>
    </row>
    <row r="16" spans="1:53" x14ac:dyDescent="0.25">
      <c r="A16" s="4" t="s">
        <v>12</v>
      </c>
      <c r="B16" s="40">
        <v>2009</v>
      </c>
      <c r="C16" s="4">
        <v>9</v>
      </c>
      <c r="D16" s="3">
        <v>7</v>
      </c>
      <c r="E16" s="71" t="s">
        <v>96</v>
      </c>
      <c r="F16" s="3">
        <v>2</v>
      </c>
      <c r="G16" s="3">
        <v>2.7</v>
      </c>
      <c r="H16" s="5">
        <v>-0.7</v>
      </c>
      <c r="I16" s="4">
        <f>IF(Data!I16&lt;=QUARTILE(Data!I$4:I$195,1),1,IF(Data!I16&lt;=MEDIAN(Data!I$4:I$195),2,IF(Data!I16&lt;=QUARTILE(Data!I$4:I$195,3),3,4)))</f>
        <v>3</v>
      </c>
      <c r="J16" s="3">
        <f>IF(Data!J16&lt;=QUARTILE(Data!J$4:J$195,1),1,IF(Data!J16&lt;=MEDIAN(Data!J$4:J$195),2,IF(Data!J16&lt;=QUARTILE(Data!J$4:J$195,3),3,4)))</f>
        <v>4</v>
      </c>
      <c r="K16" s="3">
        <f>IF(Data!K16&lt;=QUARTILE(Data!K$4:K$195,1),1,IF(Data!K16&lt;=MEDIAN(Data!K$4:K$195),2,IF(Data!K16&lt;=QUARTILE(Data!K$4:K$195,3),3,4)))</f>
        <v>4</v>
      </c>
      <c r="L16" s="5">
        <f>IF(Data!L16&lt;=QUARTILE(Data!L$4:L$195,1),1,IF(Data!L16&lt;=MEDIAN(Data!L$4:L$195),2,IF(Data!L16&lt;=QUARTILE(Data!L$4:L$195,3),3,4)))</f>
        <v>4</v>
      </c>
      <c r="M16" s="4">
        <f>IF(Data!M16&lt;=QUARTILE(Data!M$4:M$195,1),1,IF(Data!M16&lt;=MEDIAN(Data!M$4:M$195),2,IF(Data!M16&lt;=QUARTILE(Data!M$4:M$195,3),3,4)))</f>
        <v>4</v>
      </c>
      <c r="N16" s="3">
        <f>IF(Data!N16&lt;=QUARTILE(Data!N$4:N$195,1),1,IF(Data!N16&lt;=MEDIAN(Data!N$4:N$195),2,IF(Data!N16&lt;=QUARTILE(Data!N$4:N$195,3),3,4)))</f>
        <v>4</v>
      </c>
      <c r="O16" s="3">
        <f>IF(Data!O16&lt;=QUARTILE(Data!O$4:O$195,1),1,IF(Data!O16&lt;=MEDIAN(Data!O$4:O$195),2,IF(Data!O16&lt;=QUARTILE(Data!O$4:O$195,3),3,4)))</f>
        <v>4</v>
      </c>
      <c r="P16" s="3">
        <f>IF(Data!P16&lt;=QUARTILE(Data!P$4:P$195,1),1,IF(Data!P16&lt;=MEDIAN(Data!P$4:P$195),2,IF(Data!P16&lt;=QUARTILE(Data!P$4:P$195,3),3,4)))</f>
        <v>4</v>
      </c>
      <c r="Q16" s="3">
        <f>IF(Data!Q16&lt;=QUARTILE(Data!Q$4:Q$195,1),1,IF(Data!Q16&lt;=MEDIAN(Data!Q$4:Q$195),2,IF(Data!Q16&lt;=QUARTILE(Data!Q$4:Q$195,3),3,4)))</f>
        <v>4</v>
      </c>
      <c r="R16" s="3">
        <f>IF(Data!R16&lt;=QUARTILE(Data!R$4:R$195,1),1,IF(Data!R16&lt;=MEDIAN(Data!R$4:R$195),2,IF(Data!R16&lt;=QUARTILE(Data!R$4:R$195,3),3,4)))</f>
        <v>4</v>
      </c>
      <c r="S16" s="3">
        <f>IF(Data!S16&lt;=QUARTILE(Data!S$4:S$195,1),1,IF(Data!S16&lt;=MEDIAN(Data!S$4:S$195),2,IF(Data!S16&lt;=QUARTILE(Data!S$4:S$195,3),3,4)))</f>
        <v>1</v>
      </c>
      <c r="T16" s="5">
        <f>IF(Data!T16&lt;=QUARTILE(Data!T$4:T$195,1),1,IF(Data!T16&lt;=MEDIAN(Data!T$4:T$195),2,IF(Data!T16&lt;=QUARTILE(Data!T$4:T$195,3),3,4)))</f>
        <v>1</v>
      </c>
      <c r="U16" s="4">
        <f>IF(Data!U16&lt;=QUARTILE(Data!U$4:U$195,1),1,IF(Data!U16&lt;=MEDIAN(Data!U$4:U$195),2,IF(Data!U16&lt;=QUARTILE(Data!U$4:U$195,3),3,4)))</f>
        <v>2</v>
      </c>
      <c r="V16" s="3">
        <f>IF(Data!V16&lt;=QUARTILE(Data!V$4:V$195,1),1,IF(Data!V16&lt;=MEDIAN(Data!V$4:V$195),2,IF(Data!V16&lt;=QUARTILE(Data!V$4:V$195,3),3,4)))</f>
        <v>1</v>
      </c>
      <c r="W16" s="3">
        <f>IF(Data!W16&lt;=QUARTILE(Data!W$4:W$195,1),1,IF(Data!W16&lt;=MEDIAN(Data!W$4:W$195),2,IF(Data!W16&lt;=QUARTILE(Data!W$4:W$195,3),3,4)))</f>
        <v>2</v>
      </c>
      <c r="X16" s="3">
        <f>IF(Data!X16&lt;=QUARTILE(Data!X$4:X$195,1),1,IF(Data!X16&lt;=MEDIAN(Data!X$4:X$195),2,IF(Data!X16&lt;=QUARTILE(Data!X$4:X$195,3),3,4)))</f>
        <v>2</v>
      </c>
      <c r="Y16" s="4">
        <f>IF(Data!Y16&lt;=QUARTILE(Data!Y$4:Y$195,1),1,IF(Data!Y16&lt;=MEDIAN(Data!Y$4:Y$195),2,IF(Data!Y16&lt;=QUARTILE(Data!Y$4:Y$195,3),3,4)))</f>
        <v>3</v>
      </c>
      <c r="Z16" s="5">
        <f>IF(Data!Z16&lt;=QUARTILE(Data!Z$4:Z$195,1),1,IF(Data!Z16&lt;=MEDIAN(Data!Z$4:Z$195),2,IF(Data!Z16&lt;=QUARTILE(Data!Z$4:Z$195,3),3,4)))</f>
        <v>2</v>
      </c>
      <c r="AA16" s="4">
        <f>IF(Data!AA16&lt;=QUARTILE(Data!AA$4:AA$195,1),1,IF(Data!AA16&lt;=MEDIAN(Data!AA$4:AA$195),2,IF(Data!AA16&lt;=QUARTILE(Data!AA$4:AA$195,3),3,4)))</f>
        <v>4</v>
      </c>
      <c r="AB16" s="5">
        <f>IF(Data!AB16&lt;=QUARTILE(Data!AB$4:AB$195,1),1,IF(Data!AB16&lt;=MEDIAN(Data!AB$4:AB$195),2,IF(Data!AB16&lt;=QUARTILE(Data!AB$4:AB$195,3),3,4)))</f>
        <v>4</v>
      </c>
      <c r="AC16" s="4">
        <f>IF(Data!AC16&lt;=QUARTILE(Data!AC$4:AC$195,1),1,IF(Data!AC16&lt;=MEDIAN(Data!AC$4:AC$195),2,IF(Data!AC16&lt;=QUARTILE(Data!AC$4:AC$195,3),3,4)))</f>
        <v>2</v>
      </c>
      <c r="AD16" s="5">
        <f>IF(Data!AD16&lt;=QUARTILE(Data!AD$4:AD$195,1),1,IF(Data!AD16&lt;=MEDIAN(Data!AD$4:AD$195),2,IF(Data!AD16&lt;=QUARTILE(Data!AD$4:AD$195,3),3,4)))</f>
        <v>2</v>
      </c>
      <c r="AE16" s="4">
        <f>IF(Data!AE16&lt;=QUARTILE(Data!AE$4:AE$195,1),1,IF(Data!AE16&lt;=MEDIAN(Data!AE$4:AE$195),2,IF(Data!AE16&lt;=QUARTILE(Data!AE$4:AE$195,3),3,4)))</f>
        <v>4</v>
      </c>
      <c r="AF16" s="3">
        <f>IF(Data!AF16&lt;=QUARTILE(Data!AF$4:AF$195,1),1,IF(Data!AF16&lt;=MEDIAN(Data!AF$4:AF$195),2,IF(Data!AF16&lt;=QUARTILE(Data!AF$4:AF$195,3),3,4)))</f>
        <v>3</v>
      </c>
      <c r="AG16" s="3">
        <f>IF(Data!AG16&lt;=QUARTILE(Data!AG$4:AG$195,1),1,IF(Data!AG16&lt;=MEDIAN(Data!AG$4:AG$195),2,IF(Data!AG16&lt;=QUARTILE(Data!AG$4:AG$195,3),3,4)))</f>
        <v>2</v>
      </c>
      <c r="AH16" s="3">
        <f>IF(Data!AH16&lt;=QUARTILE(Data!AH$4:AH$195,1),1,IF(Data!AH16&lt;=MEDIAN(Data!AH$4:AH$195),2,IF(Data!AH16&lt;=QUARTILE(Data!AH$4:AH$195,3),3,4)))</f>
        <v>1</v>
      </c>
      <c r="AI16" s="4">
        <f>IF(Data!AI16&lt;=QUARTILE(Data!AI$4:AI$195,1),1,IF(Data!AI16&lt;=MEDIAN(Data!AI$4:AI$195),2,IF(Data!AI16&lt;=QUARTILE(Data!AI$4:AI$195,3),3,4)))</f>
        <v>1</v>
      </c>
      <c r="AJ16" s="5">
        <f>IF(Data!AJ16&lt;=QUARTILE(Data!AJ$4:AJ$195,1),1,IF(Data!AJ16&lt;=MEDIAN(Data!AJ$4:AJ$195),2,IF(Data!AJ16&lt;=QUARTILE(Data!AJ$4:AJ$195,3),3,4)))</f>
        <v>1</v>
      </c>
      <c r="AK16" s="4">
        <f>IF(Data!AK16&lt;=QUARTILE(Data!AK$4:AK$195,1),1,IF(Data!AK16&lt;=MEDIAN(Data!AK$4:AK$195),2,IF(Data!AK16&lt;=QUARTILE(Data!AK$4:AK$195,3),3,4)))</f>
        <v>2</v>
      </c>
      <c r="AL16" s="3">
        <f>IF(Data!AL16&lt;=QUARTILE(Data!AL$4:AL$195,1),1,IF(Data!AL16&lt;=MEDIAN(Data!AL$4:AL$195),2,IF(Data!AL16&lt;=QUARTILE(Data!AL$4:AL$195,3),3,4)))</f>
        <v>2</v>
      </c>
      <c r="AM16" s="3">
        <f>IF(Data!AM16&lt;=QUARTILE(Data!AM$4:AM$195,1),1,IF(Data!AM16&lt;=MEDIAN(Data!AM$4:AM$195),2,IF(Data!AM16&lt;=QUARTILE(Data!AM$4:AM$195,3),3,4)))</f>
        <v>1</v>
      </c>
      <c r="AN16" s="5">
        <f>IF(Data!AN16&lt;=QUARTILE(Data!AN$4:AN$195,1),1,IF(Data!AN16&lt;=MEDIAN(Data!AN$4:AN$195),2,IF(Data!AN16&lt;=QUARTILE(Data!AN$4:AN$195,3),3,4)))</f>
        <v>3</v>
      </c>
      <c r="AO16" s="4">
        <f>IF(Data!AO16&lt;=QUARTILE(Data!AO$4:AO$195,1),1,IF(Data!AO16&lt;=MEDIAN(Data!AO$4:AO$195),2,IF(Data!AO16&lt;=QUARTILE(Data!AO$4:AO$195,3),3,4)))</f>
        <v>4</v>
      </c>
      <c r="AP16" s="3">
        <f>IF(Data!AP16&lt;=QUARTILE(Data!AP$4:AP$195,1),1,IF(Data!AP16&lt;=MEDIAN(Data!AP$4:AP$195),2,IF(Data!AP16&lt;=QUARTILE(Data!AP$4:AP$195,3),3,4)))</f>
        <v>4</v>
      </c>
      <c r="AQ16" s="3">
        <f>IF(Data!AQ16&lt;=QUARTILE(Data!AQ$4:AQ$195,1),1,IF(Data!AQ16&lt;=MEDIAN(Data!AQ$4:AQ$195),2,IF(Data!AQ16&lt;=QUARTILE(Data!AQ$4:AQ$195,3),3,4)))</f>
        <v>3</v>
      </c>
      <c r="AR16" s="3">
        <f>IF(Data!AR16&lt;=QUARTILE(Data!AR$4:AR$195,1),1,IF(Data!AR16&lt;=MEDIAN(Data!AR$4:AR$195),2,IF(Data!AR16&lt;=QUARTILE(Data!AR$4:AR$195,3),3,4)))</f>
        <v>2</v>
      </c>
      <c r="AS16" s="3">
        <f>IF(Data!AS16&lt;=QUARTILE(Data!AS$4:AS$195,1),1,IF(Data!AS16&lt;=MEDIAN(Data!AS$4:AS$195),2,IF(Data!AS16&lt;=QUARTILE(Data!AS$4:AS$195,3),3,4)))</f>
        <v>2</v>
      </c>
      <c r="AT16" s="3">
        <f>IF(Data!AT16&lt;=QUARTILE(Data!AT$4:AT$195,1),1,IF(Data!AT16&lt;=MEDIAN(Data!AT$4:AT$195),2,IF(Data!AT16&lt;=QUARTILE(Data!AT$4:AT$195,3),3,4)))</f>
        <v>1</v>
      </c>
      <c r="AU16" s="5">
        <f>IF(Data!AU16&lt;=QUARTILE(Data!AU$4:AU$195,1),1,IF(Data!AU16&lt;=MEDIAN(Data!AU$4:AU$195),2,IF(Data!AU16&lt;=QUARTILE(Data!AU$4:AU$195,3),3,4)))</f>
        <v>1</v>
      </c>
      <c r="AV16" s="4">
        <f>IF(Data!AV16&lt;=QUARTILE(Data!AV$4:AV$195,1),1,IF(Data!AV16&lt;=MEDIAN(Data!AV$4:AV$195),2,IF(Data!AV16&lt;=QUARTILE(Data!AV$4:AV$195,3),3,4)))</f>
        <v>1</v>
      </c>
      <c r="AW16" s="3">
        <f>IF(Data!AW16&lt;=QUARTILE(Data!AW$4:AW$195,1),1,IF(Data!AW16&lt;=MEDIAN(Data!AW$4:AW$195),2,IF(Data!AW16&lt;=QUARTILE(Data!AW$4:AW$195,3),3,4)))</f>
        <v>2</v>
      </c>
      <c r="AX16" s="3">
        <f>IF(Data!AX16&lt;=QUARTILE(Data!AX$4:AX$195,1),1,IF(Data!AX16&lt;=MEDIAN(Data!AX$4:AX$195),2,IF(Data!AX16&lt;=QUARTILE(Data!AX$4:AX$195,3),3,4)))</f>
        <v>4</v>
      </c>
      <c r="AY16" s="3">
        <f>IF(Data!AY16&lt;=QUARTILE(Data!AY$4:AY$195,1),1,IF(Data!AY16&lt;=MEDIAN(Data!AY$4:AY$195),2,IF(Data!AY16&lt;=QUARTILE(Data!AY$4:AY$195,3),3,4)))</f>
        <v>2</v>
      </c>
      <c r="AZ16" s="4">
        <f>IF(Data!AZ16&lt;=QUARTILE(Data!AZ$4:AZ$195,1),1,IF(Data!AZ16&lt;=MEDIAN(Data!AZ$4:AZ$195),2,IF(Data!AZ16&lt;=QUARTILE(Data!AZ$4:AZ$195,3),3,4)))</f>
        <v>2</v>
      </c>
      <c r="BA16" s="5">
        <f>IF(Data!BA16&lt;=QUARTILE(Data!BA$4:BA$195,1),1,IF(Data!BA16&lt;=MEDIAN(Data!BA$4:BA$195),2,IF(Data!BA16&lt;=QUARTILE(Data!BA$4:BA$195,3),3,4)))</f>
        <v>3</v>
      </c>
    </row>
    <row r="17" spans="1:53" x14ac:dyDescent="0.25">
      <c r="A17" s="4" t="s">
        <v>11</v>
      </c>
      <c r="B17" s="40">
        <v>2009</v>
      </c>
      <c r="C17" s="4">
        <v>14</v>
      </c>
      <c r="D17" s="3">
        <v>2</v>
      </c>
      <c r="E17" s="71" t="s">
        <v>97</v>
      </c>
      <c r="F17" s="3">
        <v>5.9</v>
      </c>
      <c r="G17" s="3">
        <v>4.4000000000000004</v>
      </c>
      <c r="H17" s="5">
        <v>1.5</v>
      </c>
      <c r="I17" s="4">
        <f>IF(Data!I17&lt;=QUARTILE(Data!I$4:I$195,1),1,IF(Data!I17&lt;=MEDIAN(Data!I$4:I$195),2,IF(Data!I17&lt;=QUARTILE(Data!I$4:I$195,3),3,4)))</f>
        <v>4</v>
      </c>
      <c r="J17" s="3">
        <f>IF(Data!J17&lt;=QUARTILE(Data!J$4:J$195,1),1,IF(Data!J17&lt;=MEDIAN(Data!J$4:J$195),2,IF(Data!J17&lt;=QUARTILE(Data!J$4:J$195,3),3,4)))</f>
        <v>4</v>
      </c>
      <c r="K17" s="3">
        <f>IF(Data!K17&lt;=QUARTILE(Data!K$4:K$195,1),1,IF(Data!K17&lt;=MEDIAN(Data!K$4:K$195),2,IF(Data!K17&lt;=QUARTILE(Data!K$4:K$195,3),3,4)))</f>
        <v>2</v>
      </c>
      <c r="L17" s="5">
        <f>IF(Data!L17&lt;=QUARTILE(Data!L$4:L$195,1),1,IF(Data!L17&lt;=MEDIAN(Data!L$4:L$195),2,IF(Data!L17&lt;=QUARTILE(Data!L$4:L$195,3),3,4)))</f>
        <v>4</v>
      </c>
      <c r="M17" s="4">
        <f>IF(Data!M17&lt;=QUARTILE(Data!M$4:M$195,1),1,IF(Data!M17&lt;=MEDIAN(Data!M$4:M$195),2,IF(Data!M17&lt;=QUARTILE(Data!M$4:M$195,3),3,4)))</f>
        <v>4</v>
      </c>
      <c r="N17" s="3">
        <f>IF(Data!N17&lt;=QUARTILE(Data!N$4:N$195,1),1,IF(Data!N17&lt;=MEDIAN(Data!N$4:N$195),2,IF(Data!N17&lt;=QUARTILE(Data!N$4:N$195,3),3,4)))</f>
        <v>4</v>
      </c>
      <c r="O17" s="3">
        <f>IF(Data!O17&lt;=QUARTILE(Data!O$4:O$195,1),1,IF(Data!O17&lt;=MEDIAN(Data!O$4:O$195),2,IF(Data!O17&lt;=QUARTILE(Data!O$4:O$195,3),3,4)))</f>
        <v>4</v>
      </c>
      <c r="P17" s="3">
        <f>IF(Data!P17&lt;=QUARTILE(Data!P$4:P$195,1),1,IF(Data!P17&lt;=MEDIAN(Data!P$4:P$195),2,IF(Data!P17&lt;=QUARTILE(Data!P$4:P$195,3),3,4)))</f>
        <v>4</v>
      </c>
      <c r="Q17" s="3">
        <f>IF(Data!Q17&lt;=QUARTILE(Data!Q$4:Q$195,1),1,IF(Data!Q17&lt;=MEDIAN(Data!Q$4:Q$195),2,IF(Data!Q17&lt;=QUARTILE(Data!Q$4:Q$195,3),3,4)))</f>
        <v>4</v>
      </c>
      <c r="R17" s="3">
        <f>IF(Data!R17&lt;=QUARTILE(Data!R$4:R$195,1),1,IF(Data!R17&lt;=MEDIAN(Data!R$4:R$195),2,IF(Data!R17&lt;=QUARTILE(Data!R$4:R$195,3),3,4)))</f>
        <v>4</v>
      </c>
      <c r="S17" s="3">
        <f>IF(Data!S17&lt;=QUARTILE(Data!S$4:S$195,1),1,IF(Data!S17&lt;=MEDIAN(Data!S$4:S$195),2,IF(Data!S17&lt;=QUARTILE(Data!S$4:S$195,3),3,4)))</f>
        <v>1</v>
      </c>
      <c r="T17" s="5">
        <f>IF(Data!T17&lt;=QUARTILE(Data!T$4:T$195,1),1,IF(Data!T17&lt;=MEDIAN(Data!T$4:T$195),2,IF(Data!T17&lt;=QUARTILE(Data!T$4:T$195,3),3,4)))</f>
        <v>1</v>
      </c>
      <c r="U17" s="4">
        <f>IF(Data!U17&lt;=QUARTILE(Data!U$4:U$195,1),1,IF(Data!U17&lt;=MEDIAN(Data!U$4:U$195),2,IF(Data!U17&lt;=QUARTILE(Data!U$4:U$195,3),3,4)))</f>
        <v>1</v>
      </c>
      <c r="V17" s="3">
        <f>IF(Data!V17&lt;=QUARTILE(Data!V$4:V$195,1),1,IF(Data!V17&lt;=MEDIAN(Data!V$4:V$195),2,IF(Data!V17&lt;=QUARTILE(Data!V$4:V$195,3),3,4)))</f>
        <v>1</v>
      </c>
      <c r="W17" s="3">
        <f>IF(Data!W17&lt;=QUARTILE(Data!W$4:W$195,1),1,IF(Data!W17&lt;=MEDIAN(Data!W$4:W$195),2,IF(Data!W17&lt;=QUARTILE(Data!W$4:W$195,3),3,4)))</f>
        <v>3</v>
      </c>
      <c r="X17" s="3">
        <f>IF(Data!X17&lt;=QUARTILE(Data!X$4:X$195,1),1,IF(Data!X17&lt;=MEDIAN(Data!X$4:X$195),2,IF(Data!X17&lt;=QUARTILE(Data!X$4:X$195,3),3,4)))</f>
        <v>1</v>
      </c>
      <c r="Y17" s="4">
        <f>IF(Data!Y17&lt;=QUARTILE(Data!Y$4:Y$195,1),1,IF(Data!Y17&lt;=MEDIAN(Data!Y$4:Y$195),2,IF(Data!Y17&lt;=QUARTILE(Data!Y$4:Y$195,3),3,4)))</f>
        <v>3</v>
      </c>
      <c r="Z17" s="5">
        <f>IF(Data!Z17&lt;=QUARTILE(Data!Z$4:Z$195,1),1,IF(Data!Z17&lt;=MEDIAN(Data!Z$4:Z$195),2,IF(Data!Z17&lt;=QUARTILE(Data!Z$4:Z$195,3),3,4)))</f>
        <v>1</v>
      </c>
      <c r="AA17" s="4">
        <f>IF(Data!AA17&lt;=QUARTILE(Data!AA$4:AA$195,1),1,IF(Data!AA17&lt;=MEDIAN(Data!AA$4:AA$195),2,IF(Data!AA17&lt;=QUARTILE(Data!AA$4:AA$195,3),3,4)))</f>
        <v>1</v>
      </c>
      <c r="AB17" s="5">
        <f>IF(Data!AB17&lt;=QUARTILE(Data!AB$4:AB$195,1),1,IF(Data!AB17&lt;=MEDIAN(Data!AB$4:AB$195),2,IF(Data!AB17&lt;=QUARTILE(Data!AB$4:AB$195,3),3,4)))</f>
        <v>1</v>
      </c>
      <c r="AC17" s="4">
        <f>IF(Data!AC17&lt;=QUARTILE(Data!AC$4:AC$195,1),1,IF(Data!AC17&lt;=MEDIAN(Data!AC$4:AC$195),2,IF(Data!AC17&lt;=QUARTILE(Data!AC$4:AC$195,3),3,4)))</f>
        <v>1</v>
      </c>
      <c r="AD17" s="5">
        <f>IF(Data!AD17&lt;=QUARTILE(Data!AD$4:AD$195,1),1,IF(Data!AD17&lt;=MEDIAN(Data!AD$4:AD$195),2,IF(Data!AD17&lt;=QUARTILE(Data!AD$4:AD$195,3),3,4)))</f>
        <v>1</v>
      </c>
      <c r="AE17" s="4">
        <f>IF(Data!AE17&lt;=QUARTILE(Data!AE$4:AE$195,1),1,IF(Data!AE17&lt;=MEDIAN(Data!AE$4:AE$195),2,IF(Data!AE17&lt;=QUARTILE(Data!AE$4:AE$195,3),3,4)))</f>
        <v>1</v>
      </c>
      <c r="AF17" s="3">
        <f>IF(Data!AF17&lt;=QUARTILE(Data!AF$4:AF$195,1),1,IF(Data!AF17&lt;=MEDIAN(Data!AF$4:AF$195),2,IF(Data!AF17&lt;=QUARTILE(Data!AF$4:AF$195,3),3,4)))</f>
        <v>1</v>
      </c>
      <c r="AG17" s="3">
        <f>IF(Data!AG17&lt;=QUARTILE(Data!AG$4:AG$195,1),1,IF(Data!AG17&lt;=MEDIAN(Data!AG$4:AG$195),2,IF(Data!AG17&lt;=QUARTILE(Data!AG$4:AG$195,3),3,4)))</f>
        <v>1</v>
      </c>
      <c r="AH17" s="3">
        <f>IF(Data!AH17&lt;=QUARTILE(Data!AH$4:AH$195,1),1,IF(Data!AH17&lt;=MEDIAN(Data!AH$4:AH$195),2,IF(Data!AH17&lt;=QUARTILE(Data!AH$4:AH$195,3),3,4)))</f>
        <v>1</v>
      </c>
      <c r="AI17" s="4">
        <f>IF(Data!AI17&lt;=QUARTILE(Data!AI$4:AI$195,1),1,IF(Data!AI17&lt;=MEDIAN(Data!AI$4:AI$195),2,IF(Data!AI17&lt;=QUARTILE(Data!AI$4:AI$195,3),3,4)))</f>
        <v>1</v>
      </c>
      <c r="AJ17" s="5">
        <f>IF(Data!AJ17&lt;=QUARTILE(Data!AJ$4:AJ$195,1),1,IF(Data!AJ17&lt;=MEDIAN(Data!AJ$4:AJ$195),2,IF(Data!AJ17&lt;=QUARTILE(Data!AJ$4:AJ$195,3),3,4)))</f>
        <v>1</v>
      </c>
      <c r="AK17" s="4">
        <f>IF(Data!AK17&lt;=QUARTILE(Data!AK$4:AK$195,1),1,IF(Data!AK17&lt;=MEDIAN(Data!AK$4:AK$195),2,IF(Data!AK17&lt;=QUARTILE(Data!AK$4:AK$195,3),3,4)))</f>
        <v>2</v>
      </c>
      <c r="AL17" s="3">
        <f>IF(Data!AL17&lt;=QUARTILE(Data!AL$4:AL$195,1),1,IF(Data!AL17&lt;=MEDIAN(Data!AL$4:AL$195),2,IF(Data!AL17&lt;=QUARTILE(Data!AL$4:AL$195,3),3,4)))</f>
        <v>3</v>
      </c>
      <c r="AM17" s="3">
        <f>IF(Data!AM17&lt;=QUARTILE(Data!AM$4:AM$195,1),1,IF(Data!AM17&lt;=MEDIAN(Data!AM$4:AM$195),2,IF(Data!AM17&lt;=QUARTILE(Data!AM$4:AM$195,3),3,4)))</f>
        <v>4</v>
      </c>
      <c r="AN17" s="5">
        <f>IF(Data!AN17&lt;=QUARTILE(Data!AN$4:AN$195,1),1,IF(Data!AN17&lt;=MEDIAN(Data!AN$4:AN$195),2,IF(Data!AN17&lt;=QUARTILE(Data!AN$4:AN$195,3),3,4)))</f>
        <v>4</v>
      </c>
      <c r="AO17" s="4">
        <f>IF(Data!AO17&lt;=QUARTILE(Data!AO$4:AO$195,1),1,IF(Data!AO17&lt;=MEDIAN(Data!AO$4:AO$195),2,IF(Data!AO17&lt;=QUARTILE(Data!AO$4:AO$195,3),3,4)))</f>
        <v>4</v>
      </c>
      <c r="AP17" s="3">
        <f>IF(Data!AP17&lt;=QUARTILE(Data!AP$4:AP$195,1),1,IF(Data!AP17&lt;=MEDIAN(Data!AP$4:AP$195),2,IF(Data!AP17&lt;=QUARTILE(Data!AP$4:AP$195,3),3,4)))</f>
        <v>4</v>
      </c>
      <c r="AQ17" s="3">
        <f>IF(Data!AQ17&lt;=QUARTILE(Data!AQ$4:AQ$195,1),1,IF(Data!AQ17&lt;=MEDIAN(Data!AQ$4:AQ$195),2,IF(Data!AQ17&lt;=QUARTILE(Data!AQ$4:AQ$195,3),3,4)))</f>
        <v>3</v>
      </c>
      <c r="AR17" s="3">
        <f>IF(Data!AR17&lt;=QUARTILE(Data!AR$4:AR$195,1),1,IF(Data!AR17&lt;=MEDIAN(Data!AR$4:AR$195),2,IF(Data!AR17&lt;=QUARTILE(Data!AR$4:AR$195,3),3,4)))</f>
        <v>2</v>
      </c>
      <c r="AS17" s="3">
        <f>IF(Data!AS17&lt;=QUARTILE(Data!AS$4:AS$195,1),1,IF(Data!AS17&lt;=MEDIAN(Data!AS$4:AS$195),2,IF(Data!AS17&lt;=QUARTILE(Data!AS$4:AS$195,3),3,4)))</f>
        <v>4</v>
      </c>
      <c r="AT17" s="3">
        <f>IF(Data!AT17&lt;=QUARTILE(Data!AT$4:AT$195,1),1,IF(Data!AT17&lt;=MEDIAN(Data!AT$4:AT$195),2,IF(Data!AT17&lt;=QUARTILE(Data!AT$4:AT$195,3),3,4)))</f>
        <v>2</v>
      </c>
      <c r="AU17" s="5">
        <f>IF(Data!AU17&lt;=QUARTILE(Data!AU$4:AU$195,1),1,IF(Data!AU17&lt;=MEDIAN(Data!AU$4:AU$195),2,IF(Data!AU17&lt;=QUARTILE(Data!AU$4:AU$195,3),3,4)))</f>
        <v>3</v>
      </c>
      <c r="AV17" s="4">
        <f>IF(Data!AV17&lt;=QUARTILE(Data!AV$4:AV$195,1),1,IF(Data!AV17&lt;=MEDIAN(Data!AV$4:AV$195),2,IF(Data!AV17&lt;=QUARTILE(Data!AV$4:AV$195,3),3,4)))</f>
        <v>3</v>
      </c>
      <c r="AW17" s="3">
        <f>IF(Data!AW17&lt;=QUARTILE(Data!AW$4:AW$195,1),1,IF(Data!AW17&lt;=MEDIAN(Data!AW$4:AW$195),2,IF(Data!AW17&lt;=QUARTILE(Data!AW$4:AW$195,3),3,4)))</f>
        <v>3</v>
      </c>
      <c r="AX17" s="3">
        <f>IF(Data!AX17&lt;=QUARTILE(Data!AX$4:AX$195,1),1,IF(Data!AX17&lt;=MEDIAN(Data!AX$4:AX$195),2,IF(Data!AX17&lt;=QUARTILE(Data!AX$4:AX$195,3),3,4)))</f>
        <v>1</v>
      </c>
      <c r="AY17" s="3">
        <f>IF(Data!AY17&lt;=QUARTILE(Data!AY$4:AY$195,1),1,IF(Data!AY17&lt;=MEDIAN(Data!AY$4:AY$195),2,IF(Data!AY17&lt;=QUARTILE(Data!AY$4:AY$195,3),3,4)))</f>
        <v>3</v>
      </c>
      <c r="AZ17" s="4">
        <f>IF(Data!AZ17&lt;=QUARTILE(Data!AZ$4:AZ$195,1),1,IF(Data!AZ17&lt;=MEDIAN(Data!AZ$4:AZ$195),2,IF(Data!AZ17&lt;=QUARTILE(Data!AZ$4:AZ$195,3),3,4)))</f>
        <v>2</v>
      </c>
      <c r="BA17" s="5">
        <f>IF(Data!BA17&lt;=QUARTILE(Data!BA$4:BA$195,1),1,IF(Data!BA17&lt;=MEDIAN(Data!BA$4:BA$195),2,IF(Data!BA17&lt;=QUARTILE(Data!BA$4:BA$195,3),3,4)))</f>
        <v>2</v>
      </c>
    </row>
    <row r="18" spans="1:53" x14ac:dyDescent="0.25">
      <c r="A18" s="4" t="s">
        <v>14</v>
      </c>
      <c r="B18" s="40">
        <v>2009</v>
      </c>
      <c r="C18" s="4">
        <v>7</v>
      </c>
      <c r="D18" s="3">
        <v>9</v>
      </c>
      <c r="E18" s="71" t="s">
        <v>96</v>
      </c>
      <c r="F18" s="3">
        <v>-6.5</v>
      </c>
      <c r="G18" s="3">
        <v>-3.8</v>
      </c>
      <c r="H18" s="5">
        <v>-2.6</v>
      </c>
      <c r="I18" s="4">
        <f>IF(Data!I18&lt;=QUARTILE(Data!I$4:I$195,1),1,IF(Data!I18&lt;=MEDIAN(Data!I$4:I$195),2,IF(Data!I18&lt;=QUARTILE(Data!I$4:I$195,3),3,4)))</f>
        <v>1</v>
      </c>
      <c r="J18" s="3">
        <f>IF(Data!J18&lt;=QUARTILE(Data!J$4:J$195,1),1,IF(Data!J18&lt;=MEDIAN(Data!J$4:J$195),2,IF(Data!J18&lt;=QUARTILE(Data!J$4:J$195,3),3,4)))</f>
        <v>3</v>
      </c>
      <c r="K18" s="3">
        <f>IF(Data!K18&lt;=QUARTILE(Data!K$4:K$195,1),1,IF(Data!K18&lt;=MEDIAN(Data!K$4:K$195),2,IF(Data!K18&lt;=QUARTILE(Data!K$4:K$195,3),3,4)))</f>
        <v>3</v>
      </c>
      <c r="L18" s="5">
        <f>IF(Data!L18&lt;=QUARTILE(Data!L$4:L$195,1),1,IF(Data!L18&lt;=MEDIAN(Data!L$4:L$195),2,IF(Data!L18&lt;=QUARTILE(Data!L$4:L$195,3),3,4)))</f>
        <v>3</v>
      </c>
      <c r="M18" s="4">
        <f>IF(Data!M18&lt;=QUARTILE(Data!M$4:M$195,1),1,IF(Data!M18&lt;=MEDIAN(Data!M$4:M$195),2,IF(Data!M18&lt;=QUARTILE(Data!M$4:M$195,3),3,4)))</f>
        <v>3</v>
      </c>
      <c r="N18" s="3">
        <f>IF(Data!N18&lt;=QUARTILE(Data!N$4:N$195,1),1,IF(Data!N18&lt;=MEDIAN(Data!N$4:N$195),2,IF(Data!N18&lt;=QUARTILE(Data!N$4:N$195,3),3,4)))</f>
        <v>2</v>
      </c>
      <c r="O18" s="3">
        <f>IF(Data!O18&lt;=QUARTILE(Data!O$4:O$195,1),1,IF(Data!O18&lt;=MEDIAN(Data!O$4:O$195),2,IF(Data!O18&lt;=QUARTILE(Data!O$4:O$195,3),3,4)))</f>
        <v>3</v>
      </c>
      <c r="P18" s="3">
        <f>IF(Data!P18&lt;=QUARTILE(Data!P$4:P$195,1),1,IF(Data!P18&lt;=MEDIAN(Data!P$4:P$195),2,IF(Data!P18&lt;=QUARTILE(Data!P$4:P$195,3),3,4)))</f>
        <v>1</v>
      </c>
      <c r="Q18" s="3">
        <f>IF(Data!Q18&lt;=QUARTILE(Data!Q$4:Q$195,1),1,IF(Data!Q18&lt;=MEDIAN(Data!Q$4:Q$195),2,IF(Data!Q18&lt;=QUARTILE(Data!Q$4:Q$195,3),3,4)))</f>
        <v>2</v>
      </c>
      <c r="R18" s="3">
        <f>IF(Data!R18&lt;=QUARTILE(Data!R$4:R$195,1),1,IF(Data!R18&lt;=MEDIAN(Data!R$4:R$195),2,IF(Data!R18&lt;=QUARTILE(Data!R$4:R$195,3),3,4)))</f>
        <v>3</v>
      </c>
      <c r="S18" s="3">
        <f>IF(Data!S18&lt;=QUARTILE(Data!S$4:S$195,1),1,IF(Data!S18&lt;=MEDIAN(Data!S$4:S$195),2,IF(Data!S18&lt;=QUARTILE(Data!S$4:S$195,3),3,4)))</f>
        <v>3</v>
      </c>
      <c r="T18" s="5">
        <f>IF(Data!T18&lt;=QUARTILE(Data!T$4:T$195,1),1,IF(Data!T18&lt;=MEDIAN(Data!T$4:T$195),2,IF(Data!T18&lt;=QUARTILE(Data!T$4:T$195,3),3,4)))</f>
        <v>3</v>
      </c>
      <c r="U18" s="4">
        <f>IF(Data!U18&lt;=QUARTILE(Data!U$4:U$195,1),1,IF(Data!U18&lt;=MEDIAN(Data!U$4:U$195),2,IF(Data!U18&lt;=QUARTILE(Data!U$4:U$195,3),3,4)))</f>
        <v>3</v>
      </c>
      <c r="V18" s="3">
        <f>IF(Data!V18&lt;=QUARTILE(Data!V$4:V$195,1),1,IF(Data!V18&lt;=MEDIAN(Data!V$4:V$195),2,IF(Data!V18&lt;=QUARTILE(Data!V$4:V$195,3),3,4)))</f>
        <v>3</v>
      </c>
      <c r="W18" s="3">
        <f>IF(Data!W18&lt;=QUARTILE(Data!W$4:W$195,1),1,IF(Data!W18&lt;=MEDIAN(Data!W$4:W$195),2,IF(Data!W18&lt;=QUARTILE(Data!W$4:W$195,3),3,4)))</f>
        <v>4</v>
      </c>
      <c r="X18" s="3">
        <f>IF(Data!X18&lt;=QUARTILE(Data!X$4:X$195,1),1,IF(Data!X18&lt;=MEDIAN(Data!X$4:X$195),2,IF(Data!X18&lt;=QUARTILE(Data!X$4:X$195,3),3,4)))</f>
        <v>4</v>
      </c>
      <c r="Y18" s="4">
        <f>IF(Data!Y18&lt;=QUARTILE(Data!Y$4:Y$195,1),1,IF(Data!Y18&lt;=MEDIAN(Data!Y$4:Y$195),2,IF(Data!Y18&lt;=QUARTILE(Data!Y$4:Y$195,3),3,4)))</f>
        <v>1</v>
      </c>
      <c r="Z18" s="5">
        <f>IF(Data!Z18&lt;=QUARTILE(Data!Z$4:Z$195,1),1,IF(Data!Z18&lt;=MEDIAN(Data!Z$4:Z$195),2,IF(Data!Z18&lt;=QUARTILE(Data!Z$4:Z$195,3),3,4)))</f>
        <v>3</v>
      </c>
      <c r="AA18" s="4">
        <f>IF(Data!AA18&lt;=QUARTILE(Data!AA$4:AA$195,1),1,IF(Data!AA18&lt;=MEDIAN(Data!AA$4:AA$195),2,IF(Data!AA18&lt;=QUARTILE(Data!AA$4:AA$195,3),3,4)))</f>
        <v>1</v>
      </c>
      <c r="AB18" s="5">
        <f>IF(Data!AB18&lt;=QUARTILE(Data!AB$4:AB$195,1),1,IF(Data!AB18&lt;=MEDIAN(Data!AB$4:AB$195),2,IF(Data!AB18&lt;=QUARTILE(Data!AB$4:AB$195,3),3,4)))</f>
        <v>1</v>
      </c>
      <c r="AC18" s="4">
        <f>IF(Data!AC18&lt;=QUARTILE(Data!AC$4:AC$195,1),1,IF(Data!AC18&lt;=MEDIAN(Data!AC$4:AC$195),2,IF(Data!AC18&lt;=QUARTILE(Data!AC$4:AC$195,3),3,4)))</f>
        <v>3</v>
      </c>
      <c r="AD18" s="5">
        <f>IF(Data!AD18&lt;=QUARTILE(Data!AD$4:AD$195,1),1,IF(Data!AD18&lt;=MEDIAN(Data!AD$4:AD$195),2,IF(Data!AD18&lt;=QUARTILE(Data!AD$4:AD$195,3),3,4)))</f>
        <v>3</v>
      </c>
      <c r="AE18" s="4">
        <f>IF(Data!AE18&lt;=QUARTILE(Data!AE$4:AE$195,1),1,IF(Data!AE18&lt;=MEDIAN(Data!AE$4:AE$195),2,IF(Data!AE18&lt;=QUARTILE(Data!AE$4:AE$195,3),3,4)))</f>
        <v>1</v>
      </c>
      <c r="AF18" s="3">
        <f>IF(Data!AF18&lt;=QUARTILE(Data!AF$4:AF$195,1),1,IF(Data!AF18&lt;=MEDIAN(Data!AF$4:AF$195),2,IF(Data!AF18&lt;=QUARTILE(Data!AF$4:AF$195,3),3,4)))</f>
        <v>1</v>
      </c>
      <c r="AG18" s="3">
        <f>IF(Data!AG18&lt;=QUARTILE(Data!AG$4:AG$195,1),1,IF(Data!AG18&lt;=MEDIAN(Data!AG$4:AG$195),2,IF(Data!AG18&lt;=QUARTILE(Data!AG$4:AG$195,3),3,4)))</f>
        <v>4</v>
      </c>
      <c r="AH18" s="3">
        <f>IF(Data!AH18&lt;=QUARTILE(Data!AH$4:AH$195,1),1,IF(Data!AH18&lt;=MEDIAN(Data!AH$4:AH$195),2,IF(Data!AH18&lt;=QUARTILE(Data!AH$4:AH$195,3),3,4)))</f>
        <v>2</v>
      </c>
      <c r="AI18" s="4">
        <f>IF(Data!AI18&lt;=QUARTILE(Data!AI$4:AI$195,1),1,IF(Data!AI18&lt;=MEDIAN(Data!AI$4:AI$195),2,IF(Data!AI18&lt;=QUARTILE(Data!AI$4:AI$195,3),3,4)))</f>
        <v>2</v>
      </c>
      <c r="AJ18" s="5">
        <f>IF(Data!AJ18&lt;=QUARTILE(Data!AJ$4:AJ$195,1),1,IF(Data!AJ18&lt;=MEDIAN(Data!AJ$4:AJ$195),2,IF(Data!AJ18&lt;=QUARTILE(Data!AJ$4:AJ$195,3),3,4)))</f>
        <v>1</v>
      </c>
      <c r="AK18" s="4">
        <f>IF(Data!AK18&lt;=QUARTILE(Data!AK$4:AK$195,1),1,IF(Data!AK18&lt;=MEDIAN(Data!AK$4:AK$195),2,IF(Data!AK18&lt;=QUARTILE(Data!AK$4:AK$195,3),3,4)))</f>
        <v>3</v>
      </c>
      <c r="AL18" s="3">
        <f>IF(Data!AL18&lt;=QUARTILE(Data!AL$4:AL$195,1),1,IF(Data!AL18&lt;=MEDIAN(Data!AL$4:AL$195),2,IF(Data!AL18&lt;=QUARTILE(Data!AL$4:AL$195,3),3,4)))</f>
        <v>4</v>
      </c>
      <c r="AM18" s="3">
        <f>IF(Data!AM18&lt;=QUARTILE(Data!AM$4:AM$195,1),1,IF(Data!AM18&lt;=MEDIAN(Data!AM$4:AM$195),2,IF(Data!AM18&lt;=QUARTILE(Data!AM$4:AM$195,3),3,4)))</f>
        <v>2</v>
      </c>
      <c r="AN18" s="5">
        <f>IF(Data!AN18&lt;=QUARTILE(Data!AN$4:AN$195,1),1,IF(Data!AN18&lt;=MEDIAN(Data!AN$4:AN$195),2,IF(Data!AN18&lt;=QUARTILE(Data!AN$4:AN$195,3),3,4)))</f>
        <v>3</v>
      </c>
      <c r="AO18" s="4">
        <f>IF(Data!AO18&lt;=QUARTILE(Data!AO$4:AO$195,1),1,IF(Data!AO18&lt;=MEDIAN(Data!AO$4:AO$195),2,IF(Data!AO18&lt;=QUARTILE(Data!AO$4:AO$195,3),3,4)))</f>
        <v>4</v>
      </c>
      <c r="AP18" s="3">
        <f>IF(Data!AP18&lt;=QUARTILE(Data!AP$4:AP$195,1),1,IF(Data!AP18&lt;=MEDIAN(Data!AP$4:AP$195),2,IF(Data!AP18&lt;=QUARTILE(Data!AP$4:AP$195,3),3,4)))</f>
        <v>2</v>
      </c>
      <c r="AQ18" s="3">
        <f>IF(Data!AQ18&lt;=QUARTILE(Data!AQ$4:AQ$195,1),1,IF(Data!AQ18&lt;=MEDIAN(Data!AQ$4:AQ$195),2,IF(Data!AQ18&lt;=QUARTILE(Data!AQ$4:AQ$195,3),3,4)))</f>
        <v>4</v>
      </c>
      <c r="AR18" s="3">
        <f>IF(Data!AR18&lt;=QUARTILE(Data!AR$4:AR$195,1),1,IF(Data!AR18&lt;=MEDIAN(Data!AR$4:AR$195),2,IF(Data!AR18&lt;=QUARTILE(Data!AR$4:AR$195,3),3,4)))</f>
        <v>4</v>
      </c>
      <c r="AS18" s="3">
        <f>IF(Data!AS18&lt;=QUARTILE(Data!AS$4:AS$195,1),1,IF(Data!AS18&lt;=MEDIAN(Data!AS$4:AS$195),2,IF(Data!AS18&lt;=QUARTILE(Data!AS$4:AS$195,3),3,4)))</f>
        <v>4</v>
      </c>
      <c r="AT18" s="3">
        <f>IF(Data!AT18&lt;=QUARTILE(Data!AT$4:AT$195,1),1,IF(Data!AT18&lt;=MEDIAN(Data!AT$4:AT$195),2,IF(Data!AT18&lt;=QUARTILE(Data!AT$4:AT$195,3),3,4)))</f>
        <v>1</v>
      </c>
      <c r="AU18" s="5">
        <f>IF(Data!AU18&lt;=QUARTILE(Data!AU$4:AU$195,1),1,IF(Data!AU18&lt;=MEDIAN(Data!AU$4:AU$195),2,IF(Data!AU18&lt;=QUARTILE(Data!AU$4:AU$195,3),3,4)))</f>
        <v>1</v>
      </c>
      <c r="AV18" s="4">
        <f>IF(Data!AV18&lt;=QUARTILE(Data!AV$4:AV$195,1),1,IF(Data!AV18&lt;=MEDIAN(Data!AV$4:AV$195),2,IF(Data!AV18&lt;=QUARTILE(Data!AV$4:AV$195,3),3,4)))</f>
        <v>3</v>
      </c>
      <c r="AW18" s="3">
        <f>IF(Data!AW18&lt;=QUARTILE(Data!AW$4:AW$195,1),1,IF(Data!AW18&lt;=MEDIAN(Data!AW$4:AW$195),2,IF(Data!AW18&lt;=QUARTILE(Data!AW$4:AW$195,3),3,4)))</f>
        <v>3</v>
      </c>
      <c r="AX18" s="3">
        <f>IF(Data!AX18&lt;=QUARTILE(Data!AX$4:AX$195,1),1,IF(Data!AX18&lt;=MEDIAN(Data!AX$4:AX$195),2,IF(Data!AX18&lt;=QUARTILE(Data!AX$4:AX$195,3),3,4)))</f>
        <v>2</v>
      </c>
      <c r="AY18" s="3">
        <f>IF(Data!AY18&lt;=QUARTILE(Data!AY$4:AY$195,1),1,IF(Data!AY18&lt;=MEDIAN(Data!AY$4:AY$195),2,IF(Data!AY18&lt;=QUARTILE(Data!AY$4:AY$195,3),3,4)))</f>
        <v>3</v>
      </c>
      <c r="AZ18" s="4">
        <f>IF(Data!AZ18&lt;=QUARTILE(Data!AZ$4:AZ$195,1),1,IF(Data!AZ18&lt;=MEDIAN(Data!AZ$4:AZ$195),2,IF(Data!AZ18&lt;=QUARTILE(Data!AZ$4:AZ$195,3),3,4)))</f>
        <v>2</v>
      </c>
      <c r="BA18" s="5">
        <f>IF(Data!BA18&lt;=QUARTILE(Data!BA$4:BA$195,1),1,IF(Data!BA18&lt;=MEDIAN(Data!BA$4:BA$195),2,IF(Data!BA18&lt;=QUARTILE(Data!BA$4:BA$195,3),3,4)))</f>
        <v>2</v>
      </c>
    </row>
    <row r="19" spans="1:53" x14ac:dyDescent="0.25">
      <c r="A19" s="4" t="s">
        <v>18</v>
      </c>
      <c r="B19" s="40">
        <v>2009</v>
      </c>
      <c r="C19" s="4">
        <v>4</v>
      </c>
      <c r="D19" s="3">
        <v>12</v>
      </c>
      <c r="E19" s="71" t="s">
        <v>96</v>
      </c>
      <c r="F19" s="3">
        <v>-8.4</v>
      </c>
      <c r="G19" s="3">
        <v>-2.5</v>
      </c>
      <c r="H19" s="5">
        <v>-5.9</v>
      </c>
      <c r="I19" s="4">
        <f>IF(Data!I19&lt;=QUARTILE(Data!I$4:I$195,1),1,IF(Data!I19&lt;=MEDIAN(Data!I$4:I$195),2,IF(Data!I19&lt;=QUARTILE(Data!I$4:I$195,3),3,4)))</f>
        <v>2</v>
      </c>
      <c r="J19" s="3">
        <f>IF(Data!J19&lt;=QUARTILE(Data!J$4:J$195,1),1,IF(Data!J19&lt;=MEDIAN(Data!J$4:J$195),2,IF(Data!J19&lt;=QUARTILE(Data!J$4:J$195,3),3,4)))</f>
        <v>2</v>
      </c>
      <c r="K19" s="3">
        <f>IF(Data!K19&lt;=QUARTILE(Data!K$4:K$195,1),1,IF(Data!K19&lt;=MEDIAN(Data!K$4:K$195),2,IF(Data!K19&lt;=QUARTILE(Data!K$4:K$195,3),3,4)))</f>
        <v>3</v>
      </c>
      <c r="L19" s="5">
        <f>IF(Data!L19&lt;=QUARTILE(Data!L$4:L$195,1),1,IF(Data!L19&lt;=MEDIAN(Data!L$4:L$195),2,IF(Data!L19&lt;=QUARTILE(Data!L$4:L$195,3),3,4)))</f>
        <v>1</v>
      </c>
      <c r="M19" s="4">
        <f>IF(Data!M19&lt;=QUARTILE(Data!M$4:M$195,1),1,IF(Data!M19&lt;=MEDIAN(Data!M$4:M$195),2,IF(Data!M19&lt;=QUARTILE(Data!M$4:M$195,3),3,4)))</f>
        <v>2</v>
      </c>
      <c r="N19" s="3">
        <f>IF(Data!N19&lt;=QUARTILE(Data!N$4:N$195,1),1,IF(Data!N19&lt;=MEDIAN(Data!N$4:N$195),2,IF(Data!N19&lt;=QUARTILE(Data!N$4:N$195,3),3,4)))</f>
        <v>3</v>
      </c>
      <c r="O19" s="3">
        <f>IF(Data!O19&lt;=QUARTILE(Data!O$4:O$195,1),1,IF(Data!O19&lt;=MEDIAN(Data!O$4:O$195),2,IF(Data!O19&lt;=QUARTILE(Data!O$4:O$195,3),3,4)))</f>
        <v>1</v>
      </c>
      <c r="P19" s="3">
        <f>IF(Data!P19&lt;=QUARTILE(Data!P$4:P$195,1),1,IF(Data!P19&lt;=MEDIAN(Data!P$4:P$195),2,IF(Data!P19&lt;=QUARTILE(Data!P$4:P$195,3),3,4)))</f>
        <v>2</v>
      </c>
      <c r="Q19" s="3">
        <f>IF(Data!Q19&lt;=QUARTILE(Data!Q$4:Q$195,1),1,IF(Data!Q19&lt;=MEDIAN(Data!Q$4:Q$195),2,IF(Data!Q19&lt;=QUARTILE(Data!Q$4:Q$195,3),3,4)))</f>
        <v>1</v>
      </c>
      <c r="R19" s="3">
        <f>IF(Data!R19&lt;=QUARTILE(Data!R$4:R$195,1),1,IF(Data!R19&lt;=MEDIAN(Data!R$4:R$195),2,IF(Data!R19&lt;=QUARTILE(Data!R$4:R$195,3),3,4)))</f>
        <v>1</v>
      </c>
      <c r="S19" s="3">
        <f>IF(Data!S19&lt;=QUARTILE(Data!S$4:S$195,1),1,IF(Data!S19&lt;=MEDIAN(Data!S$4:S$195),2,IF(Data!S19&lt;=QUARTILE(Data!S$4:S$195,3),3,4)))</f>
        <v>4</v>
      </c>
      <c r="T19" s="5">
        <f>IF(Data!T19&lt;=QUARTILE(Data!T$4:T$195,1),1,IF(Data!T19&lt;=MEDIAN(Data!T$4:T$195),2,IF(Data!T19&lt;=QUARTILE(Data!T$4:T$195,3),3,4)))</f>
        <v>3</v>
      </c>
      <c r="U19" s="4">
        <f>IF(Data!U19&lt;=QUARTILE(Data!U$4:U$195,1),1,IF(Data!U19&lt;=MEDIAN(Data!U$4:U$195),2,IF(Data!U19&lt;=QUARTILE(Data!U$4:U$195,3),3,4)))</f>
        <v>2</v>
      </c>
      <c r="V19" s="3">
        <f>IF(Data!V19&lt;=QUARTILE(Data!V$4:V$195,1),1,IF(Data!V19&lt;=MEDIAN(Data!V$4:V$195),2,IF(Data!V19&lt;=QUARTILE(Data!V$4:V$195,3),3,4)))</f>
        <v>3</v>
      </c>
      <c r="W19" s="3">
        <f>IF(Data!W19&lt;=QUARTILE(Data!W$4:W$195,1),1,IF(Data!W19&lt;=MEDIAN(Data!W$4:W$195),2,IF(Data!W19&lt;=QUARTILE(Data!W$4:W$195,3),3,4)))</f>
        <v>1</v>
      </c>
      <c r="X19" s="3">
        <f>IF(Data!X19&lt;=QUARTILE(Data!X$4:X$195,1),1,IF(Data!X19&lt;=MEDIAN(Data!X$4:X$195),2,IF(Data!X19&lt;=QUARTILE(Data!X$4:X$195,3),3,4)))</f>
        <v>2</v>
      </c>
      <c r="Y19" s="4">
        <f>IF(Data!Y19&lt;=QUARTILE(Data!Y$4:Y$195,1),1,IF(Data!Y19&lt;=MEDIAN(Data!Y$4:Y$195),2,IF(Data!Y19&lt;=QUARTILE(Data!Y$4:Y$195,3),3,4)))</f>
        <v>3</v>
      </c>
      <c r="Z19" s="5">
        <f>IF(Data!Z19&lt;=QUARTILE(Data!Z$4:Z$195,1),1,IF(Data!Z19&lt;=MEDIAN(Data!Z$4:Z$195),2,IF(Data!Z19&lt;=QUARTILE(Data!Z$4:Z$195,3),3,4)))</f>
        <v>1</v>
      </c>
      <c r="AA19" s="4">
        <f>IF(Data!AA19&lt;=QUARTILE(Data!AA$4:AA$195,1),1,IF(Data!AA19&lt;=MEDIAN(Data!AA$4:AA$195),2,IF(Data!AA19&lt;=QUARTILE(Data!AA$4:AA$195,3),3,4)))</f>
        <v>2</v>
      </c>
      <c r="AB19" s="5">
        <f>IF(Data!AB19&lt;=QUARTILE(Data!AB$4:AB$195,1),1,IF(Data!AB19&lt;=MEDIAN(Data!AB$4:AB$195),2,IF(Data!AB19&lt;=QUARTILE(Data!AB$4:AB$195,3),3,4)))</f>
        <v>1</v>
      </c>
      <c r="AC19" s="4">
        <f>IF(Data!AC19&lt;=QUARTILE(Data!AC$4:AC$195,1),1,IF(Data!AC19&lt;=MEDIAN(Data!AC$4:AC$195),2,IF(Data!AC19&lt;=QUARTILE(Data!AC$4:AC$195,3),3,4)))</f>
        <v>4</v>
      </c>
      <c r="AD19" s="5">
        <f>IF(Data!AD19&lt;=QUARTILE(Data!AD$4:AD$195,1),1,IF(Data!AD19&lt;=MEDIAN(Data!AD$4:AD$195),2,IF(Data!AD19&lt;=QUARTILE(Data!AD$4:AD$195,3),3,4)))</f>
        <v>4</v>
      </c>
      <c r="AE19" s="4">
        <f>IF(Data!AE19&lt;=QUARTILE(Data!AE$4:AE$195,1),1,IF(Data!AE19&lt;=MEDIAN(Data!AE$4:AE$195),2,IF(Data!AE19&lt;=QUARTILE(Data!AE$4:AE$195,3),3,4)))</f>
        <v>2</v>
      </c>
      <c r="AF19" s="3">
        <f>IF(Data!AF19&lt;=QUARTILE(Data!AF$4:AF$195,1),1,IF(Data!AF19&lt;=MEDIAN(Data!AF$4:AF$195),2,IF(Data!AF19&lt;=QUARTILE(Data!AF$4:AF$195,3),3,4)))</f>
        <v>3</v>
      </c>
      <c r="AG19" s="3">
        <f>IF(Data!AG19&lt;=QUARTILE(Data!AG$4:AG$195,1),1,IF(Data!AG19&lt;=MEDIAN(Data!AG$4:AG$195),2,IF(Data!AG19&lt;=QUARTILE(Data!AG$4:AG$195,3),3,4)))</f>
        <v>3</v>
      </c>
      <c r="AH19" s="3">
        <f>IF(Data!AH19&lt;=QUARTILE(Data!AH$4:AH$195,1),1,IF(Data!AH19&lt;=MEDIAN(Data!AH$4:AH$195),2,IF(Data!AH19&lt;=QUARTILE(Data!AH$4:AH$195,3),3,4)))</f>
        <v>2</v>
      </c>
      <c r="AI19" s="4">
        <f>IF(Data!AI19&lt;=QUARTILE(Data!AI$4:AI$195,1),1,IF(Data!AI19&lt;=MEDIAN(Data!AI$4:AI$195),2,IF(Data!AI19&lt;=QUARTILE(Data!AI$4:AI$195,3),3,4)))</f>
        <v>4</v>
      </c>
      <c r="AJ19" s="5">
        <f>IF(Data!AJ19&lt;=QUARTILE(Data!AJ$4:AJ$195,1),1,IF(Data!AJ19&lt;=MEDIAN(Data!AJ$4:AJ$195),2,IF(Data!AJ19&lt;=QUARTILE(Data!AJ$4:AJ$195,3),3,4)))</f>
        <v>1</v>
      </c>
      <c r="AK19" s="4">
        <f>IF(Data!AK19&lt;=QUARTILE(Data!AK$4:AK$195,1),1,IF(Data!AK19&lt;=MEDIAN(Data!AK$4:AK$195),2,IF(Data!AK19&lt;=QUARTILE(Data!AK$4:AK$195,3),3,4)))</f>
        <v>4</v>
      </c>
      <c r="AL19" s="3">
        <f>IF(Data!AL19&lt;=QUARTILE(Data!AL$4:AL$195,1),1,IF(Data!AL19&lt;=MEDIAN(Data!AL$4:AL$195),2,IF(Data!AL19&lt;=QUARTILE(Data!AL$4:AL$195,3),3,4)))</f>
        <v>4</v>
      </c>
      <c r="AM19" s="3">
        <f>IF(Data!AM19&lt;=QUARTILE(Data!AM$4:AM$195,1),1,IF(Data!AM19&lt;=MEDIAN(Data!AM$4:AM$195),2,IF(Data!AM19&lt;=QUARTILE(Data!AM$4:AM$195,3),3,4)))</f>
        <v>4</v>
      </c>
      <c r="AN19" s="5">
        <f>IF(Data!AN19&lt;=QUARTILE(Data!AN$4:AN$195,1),1,IF(Data!AN19&lt;=MEDIAN(Data!AN$4:AN$195),2,IF(Data!AN19&lt;=QUARTILE(Data!AN$4:AN$195,3),3,4)))</f>
        <v>4</v>
      </c>
      <c r="AO19" s="4">
        <f>IF(Data!AO19&lt;=QUARTILE(Data!AO$4:AO$195,1),1,IF(Data!AO19&lt;=MEDIAN(Data!AO$4:AO$195),2,IF(Data!AO19&lt;=QUARTILE(Data!AO$4:AO$195,3),3,4)))</f>
        <v>2</v>
      </c>
      <c r="AP19" s="3">
        <f>IF(Data!AP19&lt;=QUARTILE(Data!AP$4:AP$195,1),1,IF(Data!AP19&lt;=MEDIAN(Data!AP$4:AP$195),2,IF(Data!AP19&lt;=QUARTILE(Data!AP$4:AP$195,3),3,4)))</f>
        <v>2</v>
      </c>
      <c r="AQ19" s="3">
        <f>IF(Data!AQ19&lt;=QUARTILE(Data!AQ$4:AQ$195,1),1,IF(Data!AQ19&lt;=MEDIAN(Data!AQ$4:AQ$195),2,IF(Data!AQ19&lt;=QUARTILE(Data!AQ$4:AQ$195,3),3,4)))</f>
        <v>4</v>
      </c>
      <c r="AR19" s="3">
        <f>IF(Data!AR19&lt;=QUARTILE(Data!AR$4:AR$195,1),1,IF(Data!AR19&lt;=MEDIAN(Data!AR$4:AR$195),2,IF(Data!AR19&lt;=QUARTILE(Data!AR$4:AR$195,3),3,4)))</f>
        <v>3</v>
      </c>
      <c r="AS19" s="3">
        <f>IF(Data!AS19&lt;=QUARTILE(Data!AS$4:AS$195,1),1,IF(Data!AS19&lt;=MEDIAN(Data!AS$4:AS$195),2,IF(Data!AS19&lt;=QUARTILE(Data!AS$4:AS$195,3),3,4)))</f>
        <v>3</v>
      </c>
      <c r="AT19" s="3">
        <f>IF(Data!AT19&lt;=QUARTILE(Data!AT$4:AT$195,1),1,IF(Data!AT19&lt;=MEDIAN(Data!AT$4:AT$195),2,IF(Data!AT19&lt;=QUARTILE(Data!AT$4:AT$195,3),3,4)))</f>
        <v>1</v>
      </c>
      <c r="AU19" s="5">
        <f>IF(Data!AU19&lt;=QUARTILE(Data!AU$4:AU$195,1),1,IF(Data!AU19&lt;=MEDIAN(Data!AU$4:AU$195),2,IF(Data!AU19&lt;=QUARTILE(Data!AU$4:AU$195,3),3,4)))</f>
        <v>1</v>
      </c>
      <c r="AV19" s="4">
        <f>IF(Data!AV19&lt;=QUARTILE(Data!AV$4:AV$195,1),1,IF(Data!AV19&lt;=MEDIAN(Data!AV$4:AV$195),2,IF(Data!AV19&lt;=QUARTILE(Data!AV$4:AV$195,3),3,4)))</f>
        <v>4</v>
      </c>
      <c r="AW19" s="3">
        <f>IF(Data!AW19&lt;=QUARTILE(Data!AW$4:AW$195,1),1,IF(Data!AW19&lt;=MEDIAN(Data!AW$4:AW$195),2,IF(Data!AW19&lt;=QUARTILE(Data!AW$4:AW$195,3),3,4)))</f>
        <v>4</v>
      </c>
      <c r="AX19" s="3">
        <f>IF(Data!AX19&lt;=QUARTILE(Data!AX$4:AX$195,1),1,IF(Data!AX19&lt;=MEDIAN(Data!AX$4:AX$195),2,IF(Data!AX19&lt;=QUARTILE(Data!AX$4:AX$195,3),3,4)))</f>
        <v>4</v>
      </c>
      <c r="AY19" s="3">
        <f>IF(Data!AY19&lt;=QUARTILE(Data!AY$4:AY$195,1),1,IF(Data!AY19&lt;=MEDIAN(Data!AY$4:AY$195),2,IF(Data!AY19&lt;=QUARTILE(Data!AY$4:AY$195,3),3,4)))</f>
        <v>4</v>
      </c>
      <c r="AZ19" s="4">
        <f>IF(Data!AZ19&lt;=QUARTILE(Data!AZ$4:AZ$195,1),1,IF(Data!AZ19&lt;=MEDIAN(Data!AZ$4:AZ$195),2,IF(Data!AZ19&lt;=QUARTILE(Data!AZ$4:AZ$195,3),3,4)))</f>
        <v>2</v>
      </c>
      <c r="BA19" s="5">
        <f>IF(Data!BA19&lt;=QUARTILE(Data!BA$4:BA$195,1),1,IF(Data!BA19&lt;=MEDIAN(Data!BA$4:BA$195),2,IF(Data!BA19&lt;=QUARTILE(Data!BA$4:BA$195,3),3,4)))</f>
        <v>3</v>
      </c>
    </row>
    <row r="20" spans="1:53" x14ac:dyDescent="0.25">
      <c r="A20" s="4" t="s">
        <v>5</v>
      </c>
      <c r="B20" s="40">
        <v>2009</v>
      </c>
      <c r="C20" s="4">
        <v>7</v>
      </c>
      <c r="D20" s="3">
        <v>9</v>
      </c>
      <c r="E20" s="71" t="s">
        <v>96</v>
      </c>
      <c r="F20" s="3">
        <v>1.7</v>
      </c>
      <c r="G20" s="3">
        <v>2.9</v>
      </c>
      <c r="H20" s="5">
        <v>-1.2</v>
      </c>
      <c r="I20" s="4">
        <f>IF(Data!I20&lt;=QUARTILE(Data!I$4:I$195,1),1,IF(Data!I20&lt;=MEDIAN(Data!I$4:I$195),2,IF(Data!I20&lt;=QUARTILE(Data!I$4:I$195,3),3,4)))</f>
        <v>3</v>
      </c>
      <c r="J20" s="3">
        <f>IF(Data!J20&lt;=QUARTILE(Data!J$4:J$195,1),1,IF(Data!J20&lt;=MEDIAN(Data!J$4:J$195),2,IF(Data!J20&lt;=QUARTILE(Data!J$4:J$195,3),3,4)))</f>
        <v>3</v>
      </c>
      <c r="K20" s="3">
        <f>IF(Data!K20&lt;=QUARTILE(Data!K$4:K$195,1),1,IF(Data!K20&lt;=MEDIAN(Data!K$4:K$195),2,IF(Data!K20&lt;=QUARTILE(Data!K$4:K$195,3),3,4)))</f>
        <v>4</v>
      </c>
      <c r="L20" s="5">
        <f>IF(Data!L20&lt;=QUARTILE(Data!L$4:L$195,1),1,IF(Data!L20&lt;=MEDIAN(Data!L$4:L$195),2,IF(Data!L20&lt;=QUARTILE(Data!L$4:L$195,3),3,4)))</f>
        <v>4</v>
      </c>
      <c r="M20" s="4">
        <f>IF(Data!M20&lt;=QUARTILE(Data!M$4:M$195,1),1,IF(Data!M20&lt;=MEDIAN(Data!M$4:M$195),2,IF(Data!M20&lt;=QUARTILE(Data!M$4:M$195,3),3,4)))</f>
        <v>3</v>
      </c>
      <c r="N20" s="3">
        <f>IF(Data!N20&lt;=QUARTILE(Data!N$4:N$195,1),1,IF(Data!N20&lt;=MEDIAN(Data!N$4:N$195),2,IF(Data!N20&lt;=QUARTILE(Data!N$4:N$195,3),3,4)))</f>
        <v>3</v>
      </c>
      <c r="O20" s="3">
        <f>IF(Data!O20&lt;=QUARTILE(Data!O$4:O$195,1),1,IF(Data!O20&lt;=MEDIAN(Data!O$4:O$195),2,IF(Data!O20&lt;=QUARTILE(Data!O$4:O$195,3),3,4)))</f>
        <v>2</v>
      </c>
      <c r="P20" s="3">
        <f>IF(Data!P20&lt;=QUARTILE(Data!P$4:P$195,1),1,IF(Data!P20&lt;=MEDIAN(Data!P$4:P$195),2,IF(Data!P20&lt;=QUARTILE(Data!P$4:P$195,3),3,4)))</f>
        <v>1</v>
      </c>
      <c r="Q20" s="3">
        <f>IF(Data!Q20&lt;=QUARTILE(Data!Q$4:Q$195,1),1,IF(Data!Q20&lt;=MEDIAN(Data!Q$4:Q$195),2,IF(Data!Q20&lt;=QUARTILE(Data!Q$4:Q$195,3),3,4)))</f>
        <v>3</v>
      </c>
      <c r="R20" s="3">
        <f>IF(Data!R20&lt;=QUARTILE(Data!R$4:R$195,1),1,IF(Data!R20&lt;=MEDIAN(Data!R$4:R$195),2,IF(Data!R20&lt;=QUARTILE(Data!R$4:R$195,3),3,4)))</f>
        <v>1</v>
      </c>
      <c r="S20" s="3">
        <f>IF(Data!S20&lt;=QUARTILE(Data!S$4:S$195,1),1,IF(Data!S20&lt;=MEDIAN(Data!S$4:S$195),2,IF(Data!S20&lt;=QUARTILE(Data!S$4:S$195,3),3,4)))</f>
        <v>2</v>
      </c>
      <c r="T20" s="5">
        <f>IF(Data!T20&lt;=QUARTILE(Data!T$4:T$195,1),1,IF(Data!T20&lt;=MEDIAN(Data!T$4:T$195),2,IF(Data!T20&lt;=QUARTILE(Data!T$4:T$195,3),3,4)))</f>
        <v>3</v>
      </c>
      <c r="U20" s="4">
        <f>IF(Data!U20&lt;=QUARTILE(Data!U$4:U$195,1),1,IF(Data!U20&lt;=MEDIAN(Data!U$4:U$195),2,IF(Data!U20&lt;=QUARTILE(Data!U$4:U$195,3),3,4)))</f>
        <v>4</v>
      </c>
      <c r="V20" s="3">
        <f>IF(Data!V20&lt;=QUARTILE(Data!V$4:V$195,1),1,IF(Data!V20&lt;=MEDIAN(Data!V$4:V$195),2,IF(Data!V20&lt;=QUARTILE(Data!V$4:V$195,3),3,4)))</f>
        <v>4</v>
      </c>
      <c r="W20" s="3">
        <f>IF(Data!W20&lt;=QUARTILE(Data!W$4:W$195,1),1,IF(Data!W20&lt;=MEDIAN(Data!W$4:W$195),2,IF(Data!W20&lt;=QUARTILE(Data!W$4:W$195,3),3,4)))</f>
        <v>4</v>
      </c>
      <c r="X20" s="3">
        <f>IF(Data!X20&lt;=QUARTILE(Data!X$4:X$195,1),1,IF(Data!X20&lt;=MEDIAN(Data!X$4:X$195),2,IF(Data!X20&lt;=QUARTILE(Data!X$4:X$195,3),3,4)))</f>
        <v>4</v>
      </c>
      <c r="Y20" s="4">
        <f>IF(Data!Y20&lt;=QUARTILE(Data!Y$4:Y$195,1),1,IF(Data!Y20&lt;=MEDIAN(Data!Y$4:Y$195),2,IF(Data!Y20&lt;=QUARTILE(Data!Y$4:Y$195,3),3,4)))</f>
        <v>3</v>
      </c>
      <c r="Z20" s="5">
        <f>IF(Data!Z20&lt;=QUARTILE(Data!Z$4:Z$195,1),1,IF(Data!Z20&lt;=MEDIAN(Data!Z$4:Z$195),2,IF(Data!Z20&lt;=QUARTILE(Data!Z$4:Z$195,3),3,4)))</f>
        <v>1</v>
      </c>
      <c r="AA20" s="4">
        <f>IF(Data!AA20&lt;=QUARTILE(Data!AA$4:AA$195,1),1,IF(Data!AA20&lt;=MEDIAN(Data!AA$4:AA$195),2,IF(Data!AA20&lt;=QUARTILE(Data!AA$4:AA$195,3),3,4)))</f>
        <v>2</v>
      </c>
      <c r="AB20" s="5">
        <f>IF(Data!AB20&lt;=QUARTILE(Data!AB$4:AB$195,1),1,IF(Data!AB20&lt;=MEDIAN(Data!AB$4:AB$195),2,IF(Data!AB20&lt;=QUARTILE(Data!AB$4:AB$195,3),3,4)))</f>
        <v>1</v>
      </c>
      <c r="AC20" s="4">
        <f>IF(Data!AC20&lt;=QUARTILE(Data!AC$4:AC$195,1),1,IF(Data!AC20&lt;=MEDIAN(Data!AC$4:AC$195),2,IF(Data!AC20&lt;=QUARTILE(Data!AC$4:AC$195,3),3,4)))</f>
        <v>4</v>
      </c>
      <c r="AD20" s="5">
        <f>IF(Data!AD20&lt;=QUARTILE(Data!AD$4:AD$195,1),1,IF(Data!AD20&lt;=MEDIAN(Data!AD$4:AD$195),2,IF(Data!AD20&lt;=QUARTILE(Data!AD$4:AD$195,3),3,4)))</f>
        <v>4</v>
      </c>
      <c r="AE20" s="4">
        <f>IF(Data!AE20&lt;=QUARTILE(Data!AE$4:AE$195,1),1,IF(Data!AE20&lt;=MEDIAN(Data!AE$4:AE$195),2,IF(Data!AE20&lt;=QUARTILE(Data!AE$4:AE$195,3),3,4)))</f>
        <v>2</v>
      </c>
      <c r="AF20" s="3">
        <f>IF(Data!AF20&lt;=QUARTILE(Data!AF$4:AF$195,1),1,IF(Data!AF20&lt;=MEDIAN(Data!AF$4:AF$195),2,IF(Data!AF20&lt;=QUARTILE(Data!AF$4:AF$195,3),3,4)))</f>
        <v>2</v>
      </c>
      <c r="AG20" s="3">
        <f>IF(Data!AG20&lt;=QUARTILE(Data!AG$4:AG$195,1),1,IF(Data!AG20&lt;=MEDIAN(Data!AG$4:AG$195),2,IF(Data!AG20&lt;=QUARTILE(Data!AG$4:AG$195,3),3,4)))</f>
        <v>2</v>
      </c>
      <c r="AH20" s="3">
        <f>IF(Data!AH20&lt;=QUARTILE(Data!AH$4:AH$195,1),1,IF(Data!AH20&lt;=MEDIAN(Data!AH$4:AH$195),2,IF(Data!AH20&lt;=QUARTILE(Data!AH$4:AH$195,3),3,4)))</f>
        <v>3</v>
      </c>
      <c r="AI20" s="4">
        <f>IF(Data!AI20&lt;=QUARTILE(Data!AI$4:AI$195,1),1,IF(Data!AI20&lt;=MEDIAN(Data!AI$4:AI$195),2,IF(Data!AI20&lt;=QUARTILE(Data!AI$4:AI$195,3),3,4)))</f>
        <v>2</v>
      </c>
      <c r="AJ20" s="5">
        <f>IF(Data!AJ20&lt;=QUARTILE(Data!AJ$4:AJ$195,1),1,IF(Data!AJ20&lt;=MEDIAN(Data!AJ$4:AJ$195),2,IF(Data!AJ20&lt;=QUARTILE(Data!AJ$4:AJ$195,3),3,4)))</f>
        <v>1</v>
      </c>
      <c r="AK20" s="4">
        <f>IF(Data!AK20&lt;=QUARTILE(Data!AK$4:AK$195,1),1,IF(Data!AK20&lt;=MEDIAN(Data!AK$4:AK$195),2,IF(Data!AK20&lt;=QUARTILE(Data!AK$4:AK$195,3),3,4)))</f>
        <v>4</v>
      </c>
      <c r="AL20" s="3">
        <f>IF(Data!AL20&lt;=QUARTILE(Data!AL$4:AL$195,1),1,IF(Data!AL20&lt;=MEDIAN(Data!AL$4:AL$195),2,IF(Data!AL20&lt;=QUARTILE(Data!AL$4:AL$195,3),3,4)))</f>
        <v>4</v>
      </c>
      <c r="AM20" s="3">
        <f>IF(Data!AM20&lt;=QUARTILE(Data!AM$4:AM$195,1),1,IF(Data!AM20&lt;=MEDIAN(Data!AM$4:AM$195),2,IF(Data!AM20&lt;=QUARTILE(Data!AM$4:AM$195,3),3,4)))</f>
        <v>1</v>
      </c>
      <c r="AN20" s="5">
        <f>IF(Data!AN20&lt;=QUARTILE(Data!AN$4:AN$195,1),1,IF(Data!AN20&lt;=MEDIAN(Data!AN$4:AN$195),2,IF(Data!AN20&lt;=QUARTILE(Data!AN$4:AN$195,3),3,4)))</f>
        <v>2</v>
      </c>
      <c r="AO20" s="4">
        <f>IF(Data!AO20&lt;=QUARTILE(Data!AO$4:AO$195,1),1,IF(Data!AO20&lt;=MEDIAN(Data!AO$4:AO$195),2,IF(Data!AO20&lt;=QUARTILE(Data!AO$4:AO$195,3),3,4)))</f>
        <v>1</v>
      </c>
      <c r="AP20" s="3">
        <f>IF(Data!AP20&lt;=QUARTILE(Data!AP$4:AP$195,1),1,IF(Data!AP20&lt;=MEDIAN(Data!AP$4:AP$195),2,IF(Data!AP20&lt;=QUARTILE(Data!AP$4:AP$195,3),3,4)))</f>
        <v>1</v>
      </c>
      <c r="AQ20" s="3">
        <f>IF(Data!AQ20&lt;=QUARTILE(Data!AQ$4:AQ$195,1),1,IF(Data!AQ20&lt;=MEDIAN(Data!AQ$4:AQ$195),2,IF(Data!AQ20&lt;=QUARTILE(Data!AQ$4:AQ$195,3),3,4)))</f>
        <v>4</v>
      </c>
      <c r="AR20" s="3">
        <f>IF(Data!AR20&lt;=QUARTILE(Data!AR$4:AR$195,1),1,IF(Data!AR20&lt;=MEDIAN(Data!AR$4:AR$195),2,IF(Data!AR20&lt;=QUARTILE(Data!AR$4:AR$195,3),3,4)))</f>
        <v>3</v>
      </c>
      <c r="AS20" s="3">
        <f>IF(Data!AS20&lt;=QUARTILE(Data!AS$4:AS$195,1),1,IF(Data!AS20&lt;=MEDIAN(Data!AS$4:AS$195),2,IF(Data!AS20&lt;=QUARTILE(Data!AS$4:AS$195,3),3,4)))</f>
        <v>3</v>
      </c>
      <c r="AT20" s="3">
        <f>IF(Data!AT20&lt;=QUARTILE(Data!AT$4:AT$195,1),1,IF(Data!AT20&lt;=MEDIAN(Data!AT$4:AT$195),2,IF(Data!AT20&lt;=QUARTILE(Data!AT$4:AT$195,3),3,4)))</f>
        <v>4</v>
      </c>
      <c r="AU20" s="5">
        <f>IF(Data!AU20&lt;=QUARTILE(Data!AU$4:AU$195,1),1,IF(Data!AU20&lt;=MEDIAN(Data!AU$4:AU$195),2,IF(Data!AU20&lt;=QUARTILE(Data!AU$4:AU$195,3),3,4)))</f>
        <v>3</v>
      </c>
      <c r="AV20" s="4">
        <f>IF(Data!AV20&lt;=QUARTILE(Data!AV$4:AV$195,1),1,IF(Data!AV20&lt;=MEDIAN(Data!AV$4:AV$195),2,IF(Data!AV20&lt;=QUARTILE(Data!AV$4:AV$195,3),3,4)))</f>
        <v>2</v>
      </c>
      <c r="AW20" s="3">
        <f>IF(Data!AW20&lt;=QUARTILE(Data!AW$4:AW$195,1),1,IF(Data!AW20&lt;=MEDIAN(Data!AW$4:AW$195),2,IF(Data!AW20&lt;=QUARTILE(Data!AW$4:AW$195,3),3,4)))</f>
        <v>3</v>
      </c>
      <c r="AX20" s="3">
        <f>IF(Data!AX20&lt;=QUARTILE(Data!AX$4:AX$195,1),1,IF(Data!AX20&lt;=MEDIAN(Data!AX$4:AX$195),2,IF(Data!AX20&lt;=QUARTILE(Data!AX$4:AX$195,3),3,4)))</f>
        <v>3</v>
      </c>
      <c r="AY20" s="3">
        <f>IF(Data!AY20&lt;=QUARTILE(Data!AY$4:AY$195,1),1,IF(Data!AY20&lt;=MEDIAN(Data!AY$4:AY$195),2,IF(Data!AY20&lt;=QUARTILE(Data!AY$4:AY$195,3),3,4)))</f>
        <v>2</v>
      </c>
      <c r="AZ20" s="4">
        <f>IF(Data!AZ20&lt;=QUARTILE(Data!AZ$4:AZ$195,1),1,IF(Data!AZ20&lt;=MEDIAN(Data!AZ$4:AZ$195),2,IF(Data!AZ20&lt;=QUARTILE(Data!AZ$4:AZ$195,3),3,4)))</f>
        <v>2</v>
      </c>
      <c r="BA20" s="5">
        <f>IF(Data!BA20&lt;=QUARTILE(Data!BA$4:BA$195,1),1,IF(Data!BA20&lt;=MEDIAN(Data!BA$4:BA$195),2,IF(Data!BA20&lt;=QUARTILE(Data!BA$4:BA$195,3),3,4)))</f>
        <v>1</v>
      </c>
    </row>
    <row r="21" spans="1:53" x14ac:dyDescent="0.25">
      <c r="A21" s="4" t="s">
        <v>23</v>
      </c>
      <c r="B21" s="40">
        <v>2009</v>
      </c>
      <c r="C21" s="4">
        <v>12</v>
      </c>
      <c r="D21" s="3">
        <v>4</v>
      </c>
      <c r="E21" s="71" t="s">
        <v>97</v>
      </c>
      <c r="F21" s="3">
        <v>7.2</v>
      </c>
      <c r="G21" s="3">
        <v>6.6</v>
      </c>
      <c r="H21" s="5">
        <v>0.6</v>
      </c>
      <c r="I21" s="4">
        <f>IF(Data!I21&lt;=QUARTILE(Data!I$4:I$195,1),1,IF(Data!I21&lt;=MEDIAN(Data!I$4:I$195),2,IF(Data!I21&lt;=QUARTILE(Data!I$4:I$195,3),3,4)))</f>
        <v>4</v>
      </c>
      <c r="J21" s="3">
        <f>IF(Data!J21&lt;=QUARTILE(Data!J$4:J$195,1),1,IF(Data!J21&lt;=MEDIAN(Data!J$4:J$195),2,IF(Data!J21&lt;=QUARTILE(Data!J$4:J$195,3),3,4)))</f>
        <v>4</v>
      </c>
      <c r="K21" s="3">
        <f>IF(Data!K21&lt;=QUARTILE(Data!K$4:K$195,1),1,IF(Data!K21&lt;=MEDIAN(Data!K$4:K$195),2,IF(Data!K21&lt;=QUARTILE(Data!K$4:K$195,3),3,4)))</f>
        <v>4</v>
      </c>
      <c r="L21" s="5">
        <f>IF(Data!L21&lt;=QUARTILE(Data!L$4:L$195,1),1,IF(Data!L21&lt;=MEDIAN(Data!L$4:L$195),2,IF(Data!L21&lt;=QUARTILE(Data!L$4:L$195,3),3,4)))</f>
        <v>4</v>
      </c>
      <c r="M21" s="4">
        <f>IF(Data!M21&lt;=QUARTILE(Data!M$4:M$195,1),1,IF(Data!M21&lt;=MEDIAN(Data!M$4:M$195),2,IF(Data!M21&lt;=QUARTILE(Data!M$4:M$195,3),3,4)))</f>
        <v>4</v>
      </c>
      <c r="N21" s="3">
        <f>IF(Data!N21&lt;=QUARTILE(Data!N$4:N$195,1),1,IF(Data!N21&lt;=MEDIAN(Data!N$4:N$195),2,IF(Data!N21&lt;=QUARTILE(Data!N$4:N$195,3),3,4)))</f>
        <v>3</v>
      </c>
      <c r="O21" s="3">
        <f>IF(Data!O21&lt;=QUARTILE(Data!O$4:O$195,1),1,IF(Data!O21&lt;=MEDIAN(Data!O$4:O$195),2,IF(Data!O21&lt;=QUARTILE(Data!O$4:O$195,3),3,4)))</f>
        <v>4</v>
      </c>
      <c r="P21" s="3">
        <f>IF(Data!P21&lt;=QUARTILE(Data!P$4:P$195,1),1,IF(Data!P21&lt;=MEDIAN(Data!P$4:P$195),2,IF(Data!P21&lt;=QUARTILE(Data!P$4:P$195,3),3,4)))</f>
        <v>4</v>
      </c>
      <c r="Q21" s="3">
        <f>IF(Data!Q21&lt;=QUARTILE(Data!Q$4:Q$195,1),1,IF(Data!Q21&lt;=MEDIAN(Data!Q$4:Q$195),2,IF(Data!Q21&lt;=QUARTILE(Data!Q$4:Q$195,3),3,4)))</f>
        <v>4</v>
      </c>
      <c r="R21" s="3">
        <f>IF(Data!R21&lt;=QUARTILE(Data!R$4:R$195,1),1,IF(Data!R21&lt;=MEDIAN(Data!R$4:R$195),2,IF(Data!R21&lt;=QUARTILE(Data!R$4:R$195,3),3,4)))</f>
        <v>4</v>
      </c>
      <c r="S21" s="3">
        <f>IF(Data!S21&lt;=QUARTILE(Data!S$4:S$195,1),1,IF(Data!S21&lt;=MEDIAN(Data!S$4:S$195),2,IF(Data!S21&lt;=QUARTILE(Data!S$4:S$195,3),3,4)))</f>
        <v>2</v>
      </c>
      <c r="T21" s="5">
        <f>IF(Data!T21&lt;=QUARTILE(Data!T$4:T$195,1),1,IF(Data!T21&lt;=MEDIAN(Data!T$4:T$195),2,IF(Data!T21&lt;=QUARTILE(Data!T$4:T$195,3),3,4)))</f>
        <v>3</v>
      </c>
      <c r="U21" s="4">
        <f>IF(Data!U21&lt;=QUARTILE(Data!U$4:U$195,1),1,IF(Data!U21&lt;=MEDIAN(Data!U$4:U$195),2,IF(Data!U21&lt;=QUARTILE(Data!U$4:U$195,3),3,4)))</f>
        <v>3</v>
      </c>
      <c r="V21" s="3">
        <f>IF(Data!V21&lt;=QUARTILE(Data!V$4:V$195,1),1,IF(Data!V21&lt;=MEDIAN(Data!V$4:V$195),2,IF(Data!V21&lt;=QUARTILE(Data!V$4:V$195,3),3,4)))</f>
        <v>3</v>
      </c>
      <c r="W21" s="3">
        <f>IF(Data!W21&lt;=QUARTILE(Data!W$4:W$195,1),1,IF(Data!W21&lt;=MEDIAN(Data!W$4:W$195),2,IF(Data!W21&lt;=QUARTILE(Data!W$4:W$195,3),3,4)))</f>
        <v>4</v>
      </c>
      <c r="X21" s="3">
        <f>IF(Data!X21&lt;=QUARTILE(Data!X$4:X$195,1),1,IF(Data!X21&lt;=MEDIAN(Data!X$4:X$195),2,IF(Data!X21&lt;=QUARTILE(Data!X$4:X$195,3),3,4)))</f>
        <v>3</v>
      </c>
      <c r="Y21" s="4">
        <f>IF(Data!Y21&lt;=QUARTILE(Data!Y$4:Y$195,1),1,IF(Data!Y21&lt;=MEDIAN(Data!Y$4:Y$195),2,IF(Data!Y21&lt;=QUARTILE(Data!Y$4:Y$195,3),3,4)))</f>
        <v>1</v>
      </c>
      <c r="Z21" s="5">
        <f>IF(Data!Z21&lt;=QUARTILE(Data!Z$4:Z$195,1),1,IF(Data!Z21&lt;=MEDIAN(Data!Z$4:Z$195),2,IF(Data!Z21&lt;=QUARTILE(Data!Z$4:Z$195,3),3,4)))</f>
        <v>2</v>
      </c>
      <c r="AA21" s="4">
        <f>IF(Data!AA21&lt;=QUARTILE(Data!AA$4:AA$195,1),1,IF(Data!AA21&lt;=MEDIAN(Data!AA$4:AA$195),2,IF(Data!AA21&lt;=QUARTILE(Data!AA$4:AA$195,3),3,4)))</f>
        <v>4</v>
      </c>
      <c r="AB21" s="5">
        <f>IF(Data!AB21&lt;=QUARTILE(Data!AB$4:AB$195,1),1,IF(Data!AB21&lt;=MEDIAN(Data!AB$4:AB$195),2,IF(Data!AB21&lt;=QUARTILE(Data!AB$4:AB$195,3),3,4)))</f>
        <v>4</v>
      </c>
      <c r="AC21" s="4">
        <f>IF(Data!AC21&lt;=QUARTILE(Data!AC$4:AC$195,1),1,IF(Data!AC21&lt;=MEDIAN(Data!AC$4:AC$195),2,IF(Data!AC21&lt;=QUARTILE(Data!AC$4:AC$195,3),3,4)))</f>
        <v>1</v>
      </c>
      <c r="AD21" s="5">
        <f>IF(Data!AD21&lt;=QUARTILE(Data!AD$4:AD$195,1),1,IF(Data!AD21&lt;=MEDIAN(Data!AD$4:AD$195),2,IF(Data!AD21&lt;=QUARTILE(Data!AD$4:AD$195,3),3,4)))</f>
        <v>2</v>
      </c>
      <c r="AE21" s="4">
        <f>IF(Data!AE21&lt;=QUARTILE(Data!AE$4:AE$195,1),1,IF(Data!AE21&lt;=MEDIAN(Data!AE$4:AE$195),2,IF(Data!AE21&lt;=QUARTILE(Data!AE$4:AE$195,3),3,4)))</f>
        <v>2</v>
      </c>
      <c r="AF21" s="3">
        <f>IF(Data!AF21&lt;=QUARTILE(Data!AF$4:AF$195,1),1,IF(Data!AF21&lt;=MEDIAN(Data!AF$4:AF$195),2,IF(Data!AF21&lt;=QUARTILE(Data!AF$4:AF$195,3),3,4)))</f>
        <v>2</v>
      </c>
      <c r="AG21" s="3">
        <f>IF(Data!AG21&lt;=QUARTILE(Data!AG$4:AG$195,1),1,IF(Data!AG21&lt;=MEDIAN(Data!AG$4:AG$195),2,IF(Data!AG21&lt;=QUARTILE(Data!AG$4:AG$195,3),3,4)))</f>
        <v>2</v>
      </c>
      <c r="AH21" s="3">
        <f>IF(Data!AH21&lt;=QUARTILE(Data!AH$4:AH$195,1),1,IF(Data!AH21&lt;=MEDIAN(Data!AH$4:AH$195),2,IF(Data!AH21&lt;=QUARTILE(Data!AH$4:AH$195,3),3,4)))</f>
        <v>3</v>
      </c>
      <c r="AI21" s="4">
        <f>IF(Data!AI21&lt;=QUARTILE(Data!AI$4:AI$195,1),1,IF(Data!AI21&lt;=MEDIAN(Data!AI$4:AI$195),2,IF(Data!AI21&lt;=QUARTILE(Data!AI$4:AI$195,3),3,4)))</f>
        <v>2</v>
      </c>
      <c r="AJ21" s="5">
        <f>IF(Data!AJ21&lt;=QUARTILE(Data!AJ$4:AJ$195,1),1,IF(Data!AJ21&lt;=MEDIAN(Data!AJ$4:AJ$195),2,IF(Data!AJ21&lt;=QUARTILE(Data!AJ$4:AJ$195,3),3,4)))</f>
        <v>1</v>
      </c>
      <c r="AK21" s="4">
        <f>IF(Data!AK21&lt;=QUARTILE(Data!AK$4:AK$195,1),1,IF(Data!AK21&lt;=MEDIAN(Data!AK$4:AK$195),2,IF(Data!AK21&lt;=QUARTILE(Data!AK$4:AK$195,3),3,4)))</f>
        <v>2</v>
      </c>
      <c r="AL21" s="3">
        <f>IF(Data!AL21&lt;=QUARTILE(Data!AL$4:AL$195,1),1,IF(Data!AL21&lt;=MEDIAN(Data!AL$4:AL$195),2,IF(Data!AL21&lt;=QUARTILE(Data!AL$4:AL$195,3),3,4)))</f>
        <v>2</v>
      </c>
      <c r="AM21" s="3">
        <f>IF(Data!AM21&lt;=QUARTILE(Data!AM$4:AM$195,1),1,IF(Data!AM21&lt;=MEDIAN(Data!AM$4:AM$195),2,IF(Data!AM21&lt;=QUARTILE(Data!AM$4:AM$195,3),3,4)))</f>
        <v>1</v>
      </c>
      <c r="AN21" s="5">
        <f>IF(Data!AN21&lt;=QUARTILE(Data!AN$4:AN$195,1),1,IF(Data!AN21&lt;=MEDIAN(Data!AN$4:AN$195),2,IF(Data!AN21&lt;=QUARTILE(Data!AN$4:AN$195,3),3,4)))</f>
        <v>1</v>
      </c>
      <c r="AO21" s="4">
        <f>IF(Data!AO21&lt;=QUARTILE(Data!AO$4:AO$195,1),1,IF(Data!AO21&lt;=MEDIAN(Data!AO$4:AO$195),2,IF(Data!AO21&lt;=QUARTILE(Data!AO$4:AO$195,3),3,4)))</f>
        <v>4</v>
      </c>
      <c r="AP21" s="3">
        <f>IF(Data!AP21&lt;=QUARTILE(Data!AP$4:AP$195,1),1,IF(Data!AP21&lt;=MEDIAN(Data!AP$4:AP$195),2,IF(Data!AP21&lt;=QUARTILE(Data!AP$4:AP$195,3),3,4)))</f>
        <v>3</v>
      </c>
      <c r="AQ21" s="3">
        <f>IF(Data!AQ21&lt;=QUARTILE(Data!AQ$4:AQ$195,1),1,IF(Data!AQ21&lt;=MEDIAN(Data!AQ$4:AQ$195),2,IF(Data!AQ21&lt;=QUARTILE(Data!AQ$4:AQ$195,3),3,4)))</f>
        <v>3</v>
      </c>
      <c r="AR21" s="3">
        <f>IF(Data!AR21&lt;=QUARTILE(Data!AR$4:AR$195,1),1,IF(Data!AR21&lt;=MEDIAN(Data!AR$4:AR$195),2,IF(Data!AR21&lt;=QUARTILE(Data!AR$4:AR$195,3),3,4)))</f>
        <v>4</v>
      </c>
      <c r="AS21" s="3">
        <f>IF(Data!AS21&lt;=QUARTILE(Data!AS$4:AS$195,1),1,IF(Data!AS21&lt;=MEDIAN(Data!AS$4:AS$195),2,IF(Data!AS21&lt;=QUARTILE(Data!AS$4:AS$195,3),3,4)))</f>
        <v>3</v>
      </c>
      <c r="AT21" s="3">
        <f>IF(Data!AT21&lt;=QUARTILE(Data!AT$4:AT$195,1),1,IF(Data!AT21&lt;=MEDIAN(Data!AT$4:AT$195),2,IF(Data!AT21&lt;=QUARTILE(Data!AT$4:AT$195,3),3,4)))</f>
        <v>4</v>
      </c>
      <c r="AU21" s="5">
        <f>IF(Data!AU21&lt;=QUARTILE(Data!AU$4:AU$195,1),1,IF(Data!AU21&lt;=MEDIAN(Data!AU$4:AU$195),2,IF(Data!AU21&lt;=QUARTILE(Data!AU$4:AU$195,3),3,4)))</f>
        <v>4</v>
      </c>
      <c r="AV21" s="4">
        <f>IF(Data!AV21&lt;=QUARTILE(Data!AV$4:AV$195,1),1,IF(Data!AV21&lt;=MEDIAN(Data!AV$4:AV$195),2,IF(Data!AV21&lt;=QUARTILE(Data!AV$4:AV$195,3),3,4)))</f>
        <v>1</v>
      </c>
      <c r="AW21" s="3">
        <f>IF(Data!AW21&lt;=QUARTILE(Data!AW$4:AW$195,1),1,IF(Data!AW21&lt;=MEDIAN(Data!AW$4:AW$195),2,IF(Data!AW21&lt;=QUARTILE(Data!AW$4:AW$195,3),3,4)))</f>
        <v>1</v>
      </c>
      <c r="AX21" s="3">
        <f>IF(Data!AX21&lt;=QUARTILE(Data!AX$4:AX$195,1),1,IF(Data!AX21&lt;=MEDIAN(Data!AX$4:AX$195),2,IF(Data!AX21&lt;=QUARTILE(Data!AX$4:AX$195,3),3,4)))</f>
        <v>1</v>
      </c>
      <c r="AY21" s="3">
        <f>IF(Data!AY21&lt;=QUARTILE(Data!AY$4:AY$195,1),1,IF(Data!AY21&lt;=MEDIAN(Data!AY$4:AY$195),2,IF(Data!AY21&lt;=QUARTILE(Data!AY$4:AY$195,3),3,4)))</f>
        <v>1</v>
      </c>
      <c r="AZ21" s="4">
        <f>IF(Data!AZ21&lt;=QUARTILE(Data!AZ$4:AZ$195,1),1,IF(Data!AZ21&lt;=MEDIAN(Data!AZ$4:AZ$195),2,IF(Data!AZ21&lt;=QUARTILE(Data!AZ$4:AZ$195,3),3,4)))</f>
        <v>1</v>
      </c>
      <c r="BA21" s="5">
        <f>IF(Data!BA21&lt;=QUARTILE(Data!BA$4:BA$195,1),1,IF(Data!BA21&lt;=MEDIAN(Data!BA$4:BA$195),2,IF(Data!BA21&lt;=QUARTILE(Data!BA$4:BA$195,3),3,4)))</f>
        <v>3</v>
      </c>
    </row>
    <row r="22" spans="1:53" x14ac:dyDescent="0.25">
      <c r="A22" s="4" t="s">
        <v>3</v>
      </c>
      <c r="B22" s="40">
        <v>2009</v>
      </c>
      <c r="C22" s="4">
        <v>10</v>
      </c>
      <c r="D22" s="3">
        <v>6</v>
      </c>
      <c r="E22" s="71" t="s">
        <v>97</v>
      </c>
      <c r="F22" s="3">
        <v>11.2</v>
      </c>
      <c r="G22" s="3">
        <v>6.7</v>
      </c>
      <c r="H22" s="5">
        <v>4.5</v>
      </c>
      <c r="I22" s="4">
        <f>IF(Data!I22&lt;=QUARTILE(Data!I$4:I$195,1),1,IF(Data!I22&lt;=MEDIAN(Data!I$4:I$195),2,IF(Data!I22&lt;=QUARTILE(Data!I$4:I$195,3),3,4)))</f>
        <v>4</v>
      </c>
      <c r="J22" s="3">
        <f>IF(Data!J22&lt;=QUARTILE(Data!J$4:J$195,1),1,IF(Data!J22&lt;=MEDIAN(Data!J$4:J$195),2,IF(Data!J22&lt;=QUARTILE(Data!J$4:J$195,3),3,4)))</f>
        <v>4</v>
      </c>
      <c r="K22" s="3">
        <f>IF(Data!K22&lt;=QUARTILE(Data!K$4:K$195,1),1,IF(Data!K22&lt;=MEDIAN(Data!K$4:K$195),2,IF(Data!K22&lt;=QUARTILE(Data!K$4:K$195,3),3,4)))</f>
        <v>4</v>
      </c>
      <c r="L22" s="5">
        <f>IF(Data!L22&lt;=QUARTILE(Data!L$4:L$195,1),1,IF(Data!L22&lt;=MEDIAN(Data!L$4:L$195),2,IF(Data!L22&lt;=QUARTILE(Data!L$4:L$195,3),3,4)))</f>
        <v>4</v>
      </c>
      <c r="M22" s="4">
        <f>IF(Data!M22&lt;=QUARTILE(Data!M$4:M$195,1),1,IF(Data!M22&lt;=MEDIAN(Data!M$4:M$195),2,IF(Data!M22&lt;=QUARTILE(Data!M$4:M$195,3),3,4)))</f>
        <v>4</v>
      </c>
      <c r="N22" s="3">
        <f>IF(Data!N22&lt;=QUARTILE(Data!N$4:N$195,1),1,IF(Data!N22&lt;=MEDIAN(Data!N$4:N$195),2,IF(Data!N22&lt;=QUARTILE(Data!N$4:N$195,3),3,4)))</f>
        <v>4</v>
      </c>
      <c r="O22" s="3">
        <f>IF(Data!O22&lt;=QUARTILE(Data!O$4:O$195,1),1,IF(Data!O22&lt;=MEDIAN(Data!O$4:O$195),2,IF(Data!O22&lt;=QUARTILE(Data!O$4:O$195,3),3,4)))</f>
        <v>4</v>
      </c>
      <c r="P22" s="3">
        <f>IF(Data!P22&lt;=QUARTILE(Data!P$4:P$195,1),1,IF(Data!P22&lt;=MEDIAN(Data!P$4:P$195),2,IF(Data!P22&lt;=QUARTILE(Data!P$4:P$195,3),3,4)))</f>
        <v>4</v>
      </c>
      <c r="Q22" s="3">
        <f>IF(Data!Q22&lt;=QUARTILE(Data!Q$4:Q$195,1),1,IF(Data!Q22&lt;=MEDIAN(Data!Q$4:Q$195),2,IF(Data!Q22&lt;=QUARTILE(Data!Q$4:Q$195,3),3,4)))</f>
        <v>4</v>
      </c>
      <c r="R22" s="3">
        <f>IF(Data!R22&lt;=QUARTILE(Data!R$4:R$195,1),1,IF(Data!R22&lt;=MEDIAN(Data!R$4:R$195),2,IF(Data!R22&lt;=QUARTILE(Data!R$4:R$195,3),3,4)))</f>
        <v>4</v>
      </c>
      <c r="S22" s="3">
        <f>IF(Data!S22&lt;=QUARTILE(Data!S$4:S$195,1),1,IF(Data!S22&lt;=MEDIAN(Data!S$4:S$195),2,IF(Data!S22&lt;=QUARTILE(Data!S$4:S$195,3),3,4)))</f>
        <v>1</v>
      </c>
      <c r="T22" s="5">
        <f>IF(Data!T22&lt;=QUARTILE(Data!T$4:T$195,1),1,IF(Data!T22&lt;=MEDIAN(Data!T$4:T$195),2,IF(Data!T22&lt;=QUARTILE(Data!T$4:T$195,3),3,4)))</f>
        <v>1</v>
      </c>
      <c r="U22" s="4">
        <f>IF(Data!U22&lt;=QUARTILE(Data!U$4:U$195,1),1,IF(Data!U22&lt;=MEDIAN(Data!U$4:U$195),2,IF(Data!U22&lt;=QUARTILE(Data!U$4:U$195,3),3,4)))</f>
        <v>3</v>
      </c>
      <c r="V22" s="3">
        <f>IF(Data!V22&lt;=QUARTILE(Data!V$4:V$195,1),1,IF(Data!V22&lt;=MEDIAN(Data!V$4:V$195),2,IF(Data!V22&lt;=QUARTILE(Data!V$4:V$195,3),3,4)))</f>
        <v>3</v>
      </c>
      <c r="W22" s="3">
        <f>IF(Data!W22&lt;=QUARTILE(Data!W$4:W$195,1),1,IF(Data!W22&lt;=MEDIAN(Data!W$4:W$195),2,IF(Data!W22&lt;=QUARTILE(Data!W$4:W$195,3),3,4)))</f>
        <v>4</v>
      </c>
      <c r="X22" s="3">
        <f>IF(Data!X22&lt;=QUARTILE(Data!X$4:X$195,1),1,IF(Data!X22&lt;=MEDIAN(Data!X$4:X$195),2,IF(Data!X22&lt;=QUARTILE(Data!X$4:X$195,3),3,4)))</f>
        <v>4</v>
      </c>
      <c r="Y22" s="4">
        <f>IF(Data!Y22&lt;=QUARTILE(Data!Y$4:Y$195,1),1,IF(Data!Y22&lt;=MEDIAN(Data!Y$4:Y$195),2,IF(Data!Y22&lt;=QUARTILE(Data!Y$4:Y$195,3),3,4)))</f>
        <v>1</v>
      </c>
      <c r="Z22" s="5">
        <f>IF(Data!Z22&lt;=QUARTILE(Data!Z$4:Z$195,1),1,IF(Data!Z22&lt;=MEDIAN(Data!Z$4:Z$195),2,IF(Data!Z22&lt;=QUARTILE(Data!Z$4:Z$195,3),3,4)))</f>
        <v>1</v>
      </c>
      <c r="AA22" s="4">
        <f>IF(Data!AA22&lt;=QUARTILE(Data!AA$4:AA$195,1),1,IF(Data!AA22&lt;=MEDIAN(Data!AA$4:AA$195),2,IF(Data!AA22&lt;=QUARTILE(Data!AA$4:AA$195,3),3,4)))</f>
        <v>3</v>
      </c>
      <c r="AB22" s="5">
        <f>IF(Data!AB22&lt;=QUARTILE(Data!AB$4:AB$195,1),1,IF(Data!AB22&lt;=MEDIAN(Data!AB$4:AB$195),2,IF(Data!AB22&lt;=QUARTILE(Data!AB$4:AB$195,3),3,4)))</f>
        <v>4</v>
      </c>
      <c r="AC22" s="4">
        <f>IF(Data!AC22&lt;=QUARTILE(Data!AC$4:AC$195,1),1,IF(Data!AC22&lt;=MEDIAN(Data!AC$4:AC$195),2,IF(Data!AC22&lt;=QUARTILE(Data!AC$4:AC$195,3),3,4)))</f>
        <v>1</v>
      </c>
      <c r="AD22" s="5">
        <f>IF(Data!AD22&lt;=QUARTILE(Data!AD$4:AD$195,1),1,IF(Data!AD22&lt;=MEDIAN(Data!AD$4:AD$195),2,IF(Data!AD22&lt;=QUARTILE(Data!AD$4:AD$195,3),3,4)))</f>
        <v>1</v>
      </c>
      <c r="AE22" s="4">
        <f>IF(Data!AE22&lt;=QUARTILE(Data!AE$4:AE$195,1),1,IF(Data!AE22&lt;=MEDIAN(Data!AE$4:AE$195),2,IF(Data!AE22&lt;=QUARTILE(Data!AE$4:AE$195,3),3,4)))</f>
        <v>3</v>
      </c>
      <c r="AF22" s="3">
        <f>IF(Data!AF22&lt;=QUARTILE(Data!AF$4:AF$195,1),1,IF(Data!AF22&lt;=MEDIAN(Data!AF$4:AF$195),2,IF(Data!AF22&lt;=QUARTILE(Data!AF$4:AF$195,3),3,4)))</f>
        <v>3</v>
      </c>
      <c r="AG22" s="3">
        <f>IF(Data!AG22&lt;=QUARTILE(Data!AG$4:AG$195,1),1,IF(Data!AG22&lt;=MEDIAN(Data!AG$4:AG$195),2,IF(Data!AG22&lt;=QUARTILE(Data!AG$4:AG$195,3),3,4)))</f>
        <v>2</v>
      </c>
      <c r="AH22" s="3">
        <f>IF(Data!AH22&lt;=QUARTILE(Data!AH$4:AH$195,1),1,IF(Data!AH22&lt;=MEDIAN(Data!AH$4:AH$195),2,IF(Data!AH22&lt;=QUARTILE(Data!AH$4:AH$195,3),3,4)))</f>
        <v>2</v>
      </c>
      <c r="AI22" s="4">
        <f>IF(Data!AI22&lt;=QUARTILE(Data!AI$4:AI$195,1),1,IF(Data!AI22&lt;=MEDIAN(Data!AI$4:AI$195),2,IF(Data!AI22&lt;=QUARTILE(Data!AI$4:AI$195,3),3,4)))</f>
        <v>1</v>
      </c>
      <c r="AJ22" s="5">
        <f>IF(Data!AJ22&lt;=QUARTILE(Data!AJ$4:AJ$195,1),1,IF(Data!AJ22&lt;=MEDIAN(Data!AJ$4:AJ$195),2,IF(Data!AJ22&lt;=QUARTILE(Data!AJ$4:AJ$195,3),3,4)))</f>
        <v>1</v>
      </c>
      <c r="AK22" s="4">
        <f>IF(Data!AK22&lt;=QUARTILE(Data!AK$4:AK$195,1),1,IF(Data!AK22&lt;=MEDIAN(Data!AK$4:AK$195),2,IF(Data!AK22&lt;=QUARTILE(Data!AK$4:AK$195,3),3,4)))</f>
        <v>1</v>
      </c>
      <c r="AL22" s="3">
        <f>IF(Data!AL22&lt;=QUARTILE(Data!AL$4:AL$195,1),1,IF(Data!AL22&lt;=MEDIAN(Data!AL$4:AL$195),2,IF(Data!AL22&lt;=QUARTILE(Data!AL$4:AL$195,3),3,4)))</f>
        <v>2</v>
      </c>
      <c r="AM22" s="3">
        <f>IF(Data!AM22&lt;=QUARTILE(Data!AM$4:AM$195,1),1,IF(Data!AM22&lt;=MEDIAN(Data!AM$4:AM$195),2,IF(Data!AM22&lt;=QUARTILE(Data!AM$4:AM$195,3),3,4)))</f>
        <v>1</v>
      </c>
      <c r="AN22" s="5">
        <f>IF(Data!AN22&lt;=QUARTILE(Data!AN$4:AN$195,1),1,IF(Data!AN22&lt;=MEDIAN(Data!AN$4:AN$195),2,IF(Data!AN22&lt;=QUARTILE(Data!AN$4:AN$195,3),3,4)))</f>
        <v>2</v>
      </c>
      <c r="AO22" s="4">
        <f>IF(Data!AO22&lt;=QUARTILE(Data!AO$4:AO$195,1),1,IF(Data!AO22&lt;=MEDIAN(Data!AO$4:AO$195),2,IF(Data!AO22&lt;=QUARTILE(Data!AO$4:AO$195,3),3,4)))</f>
        <v>2</v>
      </c>
      <c r="AP22" s="3">
        <f>IF(Data!AP22&lt;=QUARTILE(Data!AP$4:AP$195,1),1,IF(Data!AP22&lt;=MEDIAN(Data!AP$4:AP$195),2,IF(Data!AP22&lt;=QUARTILE(Data!AP$4:AP$195,3),3,4)))</f>
        <v>2</v>
      </c>
      <c r="AQ22" s="3">
        <f>IF(Data!AQ22&lt;=QUARTILE(Data!AQ$4:AQ$195,1),1,IF(Data!AQ22&lt;=MEDIAN(Data!AQ$4:AQ$195),2,IF(Data!AQ22&lt;=QUARTILE(Data!AQ$4:AQ$195,3),3,4)))</f>
        <v>2</v>
      </c>
      <c r="AR22" s="3">
        <f>IF(Data!AR22&lt;=QUARTILE(Data!AR$4:AR$195,1),1,IF(Data!AR22&lt;=MEDIAN(Data!AR$4:AR$195),2,IF(Data!AR22&lt;=QUARTILE(Data!AR$4:AR$195,3),3,4)))</f>
        <v>3</v>
      </c>
      <c r="AS22" s="3">
        <f>IF(Data!AS22&lt;=QUARTILE(Data!AS$4:AS$195,1),1,IF(Data!AS22&lt;=MEDIAN(Data!AS$4:AS$195),2,IF(Data!AS22&lt;=QUARTILE(Data!AS$4:AS$195,3),3,4)))</f>
        <v>4</v>
      </c>
      <c r="AT22" s="3">
        <f>IF(Data!AT22&lt;=QUARTILE(Data!AT$4:AT$195,1),1,IF(Data!AT22&lt;=MEDIAN(Data!AT$4:AT$195),2,IF(Data!AT22&lt;=QUARTILE(Data!AT$4:AT$195,3),3,4)))</f>
        <v>2</v>
      </c>
      <c r="AU22" s="5">
        <f>IF(Data!AU22&lt;=QUARTILE(Data!AU$4:AU$195,1),1,IF(Data!AU22&lt;=MEDIAN(Data!AU$4:AU$195),2,IF(Data!AU22&lt;=QUARTILE(Data!AU$4:AU$195,3),3,4)))</f>
        <v>3</v>
      </c>
      <c r="AV22" s="4">
        <f>IF(Data!AV22&lt;=QUARTILE(Data!AV$4:AV$195,1),1,IF(Data!AV22&lt;=MEDIAN(Data!AV$4:AV$195),2,IF(Data!AV22&lt;=QUARTILE(Data!AV$4:AV$195,3),3,4)))</f>
        <v>1</v>
      </c>
      <c r="AW22" s="3">
        <f>IF(Data!AW22&lt;=QUARTILE(Data!AW$4:AW$195,1),1,IF(Data!AW22&lt;=MEDIAN(Data!AW$4:AW$195),2,IF(Data!AW22&lt;=QUARTILE(Data!AW$4:AW$195,3),3,4)))</f>
        <v>2</v>
      </c>
      <c r="AX22" s="3">
        <f>IF(Data!AX22&lt;=QUARTILE(Data!AX$4:AX$195,1),1,IF(Data!AX22&lt;=MEDIAN(Data!AX$4:AX$195),2,IF(Data!AX22&lt;=QUARTILE(Data!AX$4:AX$195,3),3,4)))</f>
        <v>1</v>
      </c>
      <c r="AY22" s="3">
        <f>IF(Data!AY22&lt;=QUARTILE(Data!AY$4:AY$195,1),1,IF(Data!AY22&lt;=MEDIAN(Data!AY$4:AY$195),2,IF(Data!AY22&lt;=QUARTILE(Data!AY$4:AY$195,3),3,4)))</f>
        <v>1</v>
      </c>
      <c r="AZ22" s="4">
        <f>IF(Data!AZ22&lt;=QUARTILE(Data!AZ$4:AZ$195,1),1,IF(Data!AZ22&lt;=MEDIAN(Data!AZ$4:AZ$195),2,IF(Data!AZ22&lt;=QUARTILE(Data!AZ$4:AZ$195,3),3,4)))</f>
        <v>3</v>
      </c>
      <c r="BA22" s="5">
        <f>IF(Data!BA22&lt;=QUARTILE(Data!BA$4:BA$195,1),1,IF(Data!BA22&lt;=MEDIAN(Data!BA$4:BA$195),2,IF(Data!BA22&lt;=QUARTILE(Data!BA$4:BA$195,3),3,4)))</f>
        <v>2</v>
      </c>
    </row>
    <row r="23" spans="1:53" x14ac:dyDescent="0.25">
      <c r="A23" s="4" t="s">
        <v>27</v>
      </c>
      <c r="B23" s="40">
        <v>2009</v>
      </c>
      <c r="C23" s="4">
        <v>13</v>
      </c>
      <c r="D23" s="3">
        <v>3</v>
      </c>
      <c r="E23" s="71" t="s">
        <v>97</v>
      </c>
      <c r="F23" s="3">
        <v>10.8</v>
      </c>
      <c r="G23" s="3">
        <v>11.2</v>
      </c>
      <c r="H23" s="5">
        <v>-0.5</v>
      </c>
      <c r="I23" s="4">
        <f>IF(Data!I23&lt;=QUARTILE(Data!I$4:I$195,1),1,IF(Data!I23&lt;=MEDIAN(Data!I$4:I$195),2,IF(Data!I23&lt;=QUARTILE(Data!I$4:I$195,3),3,4)))</f>
        <v>4</v>
      </c>
      <c r="J23" s="3">
        <f>IF(Data!J23&lt;=QUARTILE(Data!J$4:J$195,1),1,IF(Data!J23&lt;=MEDIAN(Data!J$4:J$195),2,IF(Data!J23&lt;=QUARTILE(Data!J$4:J$195,3),3,4)))</f>
        <v>4</v>
      </c>
      <c r="K23" s="3">
        <f>IF(Data!K23&lt;=QUARTILE(Data!K$4:K$195,1),1,IF(Data!K23&lt;=MEDIAN(Data!K$4:K$195),2,IF(Data!K23&lt;=QUARTILE(Data!K$4:K$195,3),3,4)))</f>
        <v>4</v>
      </c>
      <c r="L23" s="5">
        <f>IF(Data!L23&lt;=QUARTILE(Data!L$4:L$195,1),1,IF(Data!L23&lt;=MEDIAN(Data!L$4:L$195),2,IF(Data!L23&lt;=QUARTILE(Data!L$4:L$195,3),3,4)))</f>
        <v>4</v>
      </c>
      <c r="M23" s="4">
        <f>IF(Data!M23&lt;=QUARTILE(Data!M$4:M$195,1),1,IF(Data!M23&lt;=MEDIAN(Data!M$4:M$195),2,IF(Data!M23&lt;=QUARTILE(Data!M$4:M$195,3),3,4)))</f>
        <v>4</v>
      </c>
      <c r="N23" s="3">
        <f>IF(Data!N23&lt;=QUARTILE(Data!N$4:N$195,1),1,IF(Data!N23&lt;=MEDIAN(Data!N$4:N$195),2,IF(Data!N23&lt;=QUARTILE(Data!N$4:N$195,3),3,4)))</f>
        <v>3</v>
      </c>
      <c r="O23" s="3">
        <f>IF(Data!O23&lt;=QUARTILE(Data!O$4:O$195,1),1,IF(Data!O23&lt;=MEDIAN(Data!O$4:O$195),2,IF(Data!O23&lt;=QUARTILE(Data!O$4:O$195,3),3,4)))</f>
        <v>4</v>
      </c>
      <c r="P23" s="3">
        <f>IF(Data!P23&lt;=QUARTILE(Data!P$4:P$195,1),1,IF(Data!P23&lt;=MEDIAN(Data!P$4:P$195),2,IF(Data!P23&lt;=QUARTILE(Data!P$4:P$195,3),3,4)))</f>
        <v>4</v>
      </c>
      <c r="Q23" s="3">
        <f>IF(Data!Q23&lt;=QUARTILE(Data!Q$4:Q$195,1),1,IF(Data!Q23&lt;=MEDIAN(Data!Q$4:Q$195),2,IF(Data!Q23&lt;=QUARTILE(Data!Q$4:Q$195,3),3,4)))</f>
        <v>4</v>
      </c>
      <c r="R23" s="3">
        <f>IF(Data!R23&lt;=QUARTILE(Data!R$4:R$195,1),1,IF(Data!R23&lt;=MEDIAN(Data!R$4:R$195),2,IF(Data!R23&lt;=QUARTILE(Data!R$4:R$195,3),3,4)))</f>
        <v>4</v>
      </c>
      <c r="S23" s="3">
        <f>IF(Data!S23&lt;=QUARTILE(Data!S$4:S$195,1),1,IF(Data!S23&lt;=MEDIAN(Data!S$4:S$195),2,IF(Data!S23&lt;=QUARTILE(Data!S$4:S$195,3),3,4)))</f>
        <v>1</v>
      </c>
      <c r="T23" s="5">
        <f>IF(Data!T23&lt;=QUARTILE(Data!T$4:T$195,1),1,IF(Data!T23&lt;=MEDIAN(Data!T$4:T$195),2,IF(Data!T23&lt;=QUARTILE(Data!T$4:T$195,3),3,4)))</f>
        <v>1</v>
      </c>
      <c r="U23" s="4">
        <f>IF(Data!U23&lt;=QUARTILE(Data!U$4:U$195,1),1,IF(Data!U23&lt;=MEDIAN(Data!U$4:U$195),2,IF(Data!U23&lt;=QUARTILE(Data!U$4:U$195,3),3,4)))</f>
        <v>3</v>
      </c>
      <c r="V23" s="3">
        <f>IF(Data!V23&lt;=QUARTILE(Data!V$4:V$195,1),1,IF(Data!V23&lt;=MEDIAN(Data!V$4:V$195),2,IF(Data!V23&lt;=QUARTILE(Data!V$4:V$195,3),3,4)))</f>
        <v>4</v>
      </c>
      <c r="W23" s="3">
        <f>IF(Data!W23&lt;=QUARTILE(Data!W$4:W$195,1),1,IF(Data!W23&lt;=MEDIAN(Data!W$4:W$195),2,IF(Data!W23&lt;=QUARTILE(Data!W$4:W$195,3),3,4)))</f>
        <v>4</v>
      </c>
      <c r="X23" s="3">
        <f>IF(Data!X23&lt;=QUARTILE(Data!X$4:X$195,1),1,IF(Data!X23&lt;=MEDIAN(Data!X$4:X$195),2,IF(Data!X23&lt;=QUARTILE(Data!X$4:X$195,3),3,4)))</f>
        <v>4</v>
      </c>
      <c r="Y23" s="4">
        <f>IF(Data!Y23&lt;=QUARTILE(Data!Y$4:Y$195,1),1,IF(Data!Y23&lt;=MEDIAN(Data!Y$4:Y$195),2,IF(Data!Y23&lt;=QUARTILE(Data!Y$4:Y$195,3),3,4)))</f>
        <v>1</v>
      </c>
      <c r="Z23" s="5">
        <f>IF(Data!Z23&lt;=QUARTILE(Data!Z$4:Z$195,1),1,IF(Data!Z23&lt;=MEDIAN(Data!Z$4:Z$195),2,IF(Data!Z23&lt;=QUARTILE(Data!Z$4:Z$195,3),3,4)))</f>
        <v>3</v>
      </c>
      <c r="AA23" s="4">
        <f>IF(Data!AA23&lt;=QUARTILE(Data!AA$4:AA$195,1),1,IF(Data!AA23&lt;=MEDIAN(Data!AA$4:AA$195),2,IF(Data!AA23&lt;=QUARTILE(Data!AA$4:AA$195,3),3,4)))</f>
        <v>2</v>
      </c>
      <c r="AB23" s="5">
        <f>IF(Data!AB23&lt;=QUARTILE(Data!AB$4:AB$195,1),1,IF(Data!AB23&lt;=MEDIAN(Data!AB$4:AB$195),2,IF(Data!AB23&lt;=QUARTILE(Data!AB$4:AB$195,3),3,4)))</f>
        <v>1</v>
      </c>
      <c r="AC23" s="4">
        <f>IF(Data!AC23&lt;=QUARTILE(Data!AC$4:AC$195,1),1,IF(Data!AC23&lt;=MEDIAN(Data!AC$4:AC$195),2,IF(Data!AC23&lt;=QUARTILE(Data!AC$4:AC$195,3),3,4)))</f>
        <v>1</v>
      </c>
      <c r="AD23" s="5">
        <f>IF(Data!AD23&lt;=QUARTILE(Data!AD$4:AD$195,1),1,IF(Data!AD23&lt;=MEDIAN(Data!AD$4:AD$195),2,IF(Data!AD23&lt;=QUARTILE(Data!AD$4:AD$195,3),3,4)))</f>
        <v>2</v>
      </c>
      <c r="AE23" s="4">
        <f>IF(Data!AE23&lt;=QUARTILE(Data!AE$4:AE$195,1),1,IF(Data!AE23&lt;=MEDIAN(Data!AE$4:AE$195),2,IF(Data!AE23&lt;=QUARTILE(Data!AE$4:AE$195,3),3,4)))</f>
        <v>4</v>
      </c>
      <c r="AF23" s="3">
        <f>IF(Data!AF23&lt;=QUARTILE(Data!AF$4:AF$195,1),1,IF(Data!AF23&lt;=MEDIAN(Data!AF$4:AF$195),2,IF(Data!AF23&lt;=QUARTILE(Data!AF$4:AF$195,3),3,4)))</f>
        <v>4</v>
      </c>
      <c r="AG23" s="3">
        <f>IF(Data!AG23&lt;=QUARTILE(Data!AG$4:AG$195,1),1,IF(Data!AG23&lt;=MEDIAN(Data!AG$4:AG$195),2,IF(Data!AG23&lt;=QUARTILE(Data!AG$4:AG$195,3),3,4)))</f>
        <v>1</v>
      </c>
      <c r="AH23" s="3">
        <f>IF(Data!AH23&lt;=QUARTILE(Data!AH$4:AH$195,1),1,IF(Data!AH23&lt;=MEDIAN(Data!AH$4:AH$195),2,IF(Data!AH23&lt;=QUARTILE(Data!AH$4:AH$195,3),3,4)))</f>
        <v>1</v>
      </c>
      <c r="AI23" s="4">
        <f>IF(Data!AI23&lt;=QUARTILE(Data!AI$4:AI$195,1),1,IF(Data!AI23&lt;=MEDIAN(Data!AI$4:AI$195),2,IF(Data!AI23&lt;=QUARTILE(Data!AI$4:AI$195,3),3,4)))</f>
        <v>1</v>
      </c>
      <c r="AJ23" s="5">
        <f>IF(Data!AJ23&lt;=QUARTILE(Data!AJ$4:AJ$195,1),1,IF(Data!AJ23&lt;=MEDIAN(Data!AJ$4:AJ$195),2,IF(Data!AJ23&lt;=QUARTILE(Data!AJ$4:AJ$195,3),3,4)))</f>
        <v>1</v>
      </c>
      <c r="AK23" s="4">
        <f>IF(Data!AK23&lt;=QUARTILE(Data!AK$4:AK$195,1),1,IF(Data!AK23&lt;=MEDIAN(Data!AK$4:AK$195),2,IF(Data!AK23&lt;=QUARTILE(Data!AK$4:AK$195,3),3,4)))</f>
        <v>3</v>
      </c>
      <c r="AL23" s="3">
        <f>IF(Data!AL23&lt;=QUARTILE(Data!AL$4:AL$195,1),1,IF(Data!AL23&lt;=MEDIAN(Data!AL$4:AL$195),2,IF(Data!AL23&lt;=QUARTILE(Data!AL$4:AL$195,3),3,4)))</f>
        <v>4</v>
      </c>
      <c r="AM23" s="3">
        <f>IF(Data!AM23&lt;=QUARTILE(Data!AM$4:AM$195,1),1,IF(Data!AM23&lt;=MEDIAN(Data!AM$4:AM$195),2,IF(Data!AM23&lt;=QUARTILE(Data!AM$4:AM$195,3),3,4)))</f>
        <v>4</v>
      </c>
      <c r="AN23" s="5">
        <f>IF(Data!AN23&lt;=QUARTILE(Data!AN$4:AN$195,1),1,IF(Data!AN23&lt;=MEDIAN(Data!AN$4:AN$195),2,IF(Data!AN23&lt;=QUARTILE(Data!AN$4:AN$195,3),3,4)))</f>
        <v>3</v>
      </c>
      <c r="AO23" s="4">
        <f>IF(Data!AO23&lt;=QUARTILE(Data!AO$4:AO$195,1),1,IF(Data!AO23&lt;=MEDIAN(Data!AO$4:AO$195),2,IF(Data!AO23&lt;=QUARTILE(Data!AO$4:AO$195,3),3,4)))</f>
        <v>3</v>
      </c>
      <c r="AP23" s="3">
        <f>IF(Data!AP23&lt;=QUARTILE(Data!AP$4:AP$195,1),1,IF(Data!AP23&lt;=MEDIAN(Data!AP$4:AP$195),2,IF(Data!AP23&lt;=QUARTILE(Data!AP$4:AP$195,3),3,4)))</f>
        <v>4</v>
      </c>
      <c r="AQ23" s="3">
        <f>IF(Data!AQ23&lt;=QUARTILE(Data!AQ$4:AQ$195,1),1,IF(Data!AQ23&lt;=MEDIAN(Data!AQ$4:AQ$195),2,IF(Data!AQ23&lt;=QUARTILE(Data!AQ$4:AQ$195,3),3,4)))</f>
        <v>4</v>
      </c>
      <c r="AR23" s="3">
        <f>IF(Data!AR23&lt;=QUARTILE(Data!AR$4:AR$195,1),1,IF(Data!AR23&lt;=MEDIAN(Data!AR$4:AR$195),2,IF(Data!AR23&lt;=QUARTILE(Data!AR$4:AR$195,3),3,4)))</f>
        <v>1</v>
      </c>
      <c r="AS23" s="3">
        <f>IF(Data!AS23&lt;=QUARTILE(Data!AS$4:AS$195,1),1,IF(Data!AS23&lt;=MEDIAN(Data!AS$4:AS$195),2,IF(Data!AS23&lt;=QUARTILE(Data!AS$4:AS$195,3),3,4)))</f>
        <v>2</v>
      </c>
      <c r="AT23" s="3">
        <f>IF(Data!AT23&lt;=QUARTILE(Data!AT$4:AT$195,1),1,IF(Data!AT23&lt;=MEDIAN(Data!AT$4:AT$195),2,IF(Data!AT23&lt;=QUARTILE(Data!AT$4:AT$195,3),3,4)))</f>
        <v>2</v>
      </c>
      <c r="AU23" s="5">
        <f>IF(Data!AU23&lt;=QUARTILE(Data!AU$4:AU$195,1),1,IF(Data!AU23&lt;=MEDIAN(Data!AU$4:AU$195),2,IF(Data!AU23&lt;=QUARTILE(Data!AU$4:AU$195,3),3,4)))</f>
        <v>2</v>
      </c>
      <c r="AV23" s="4">
        <f>IF(Data!AV23&lt;=QUARTILE(Data!AV$4:AV$195,1),1,IF(Data!AV23&lt;=MEDIAN(Data!AV$4:AV$195),2,IF(Data!AV23&lt;=QUARTILE(Data!AV$4:AV$195,3),3,4)))</f>
        <v>2</v>
      </c>
      <c r="AW23" s="3">
        <f>IF(Data!AW23&lt;=QUARTILE(Data!AW$4:AW$195,1),1,IF(Data!AW23&lt;=MEDIAN(Data!AW$4:AW$195),2,IF(Data!AW23&lt;=QUARTILE(Data!AW$4:AW$195,3),3,4)))</f>
        <v>3</v>
      </c>
      <c r="AX23" s="3">
        <f>IF(Data!AX23&lt;=QUARTILE(Data!AX$4:AX$195,1),1,IF(Data!AX23&lt;=MEDIAN(Data!AX$4:AX$195),2,IF(Data!AX23&lt;=QUARTILE(Data!AX$4:AX$195,3),3,4)))</f>
        <v>4</v>
      </c>
      <c r="AY23" s="3">
        <f>IF(Data!AY23&lt;=QUARTILE(Data!AY$4:AY$195,1),1,IF(Data!AY23&lt;=MEDIAN(Data!AY$4:AY$195),2,IF(Data!AY23&lt;=QUARTILE(Data!AY$4:AY$195,3),3,4)))</f>
        <v>3</v>
      </c>
      <c r="AZ23" s="4">
        <f>IF(Data!AZ23&lt;=QUARTILE(Data!AZ$4:AZ$195,1),1,IF(Data!AZ23&lt;=MEDIAN(Data!AZ$4:AZ$195),2,IF(Data!AZ23&lt;=QUARTILE(Data!AZ$4:AZ$195,3),3,4)))</f>
        <v>4</v>
      </c>
      <c r="BA23" s="5">
        <f>IF(Data!BA23&lt;=QUARTILE(Data!BA$4:BA$195,1),1,IF(Data!BA23&lt;=MEDIAN(Data!BA$4:BA$195),2,IF(Data!BA23&lt;=QUARTILE(Data!BA$4:BA$195,3),3,4)))</f>
        <v>3</v>
      </c>
    </row>
    <row r="24" spans="1:53" x14ac:dyDescent="0.25">
      <c r="A24" s="4" t="s">
        <v>21</v>
      </c>
      <c r="B24" s="40">
        <v>2009</v>
      </c>
      <c r="C24" s="4">
        <v>8</v>
      </c>
      <c r="D24" s="3">
        <v>8</v>
      </c>
      <c r="E24" s="71" t="s">
        <v>96</v>
      </c>
      <c r="F24" s="3">
        <v>0.1</v>
      </c>
      <c r="G24" s="3">
        <v>4.5999999999999996</v>
      </c>
      <c r="H24" s="5">
        <v>-4.5</v>
      </c>
      <c r="I24" s="4">
        <f>IF(Data!I24&lt;=QUARTILE(Data!I$4:I$195,1),1,IF(Data!I24&lt;=MEDIAN(Data!I$4:I$195),2,IF(Data!I24&lt;=QUARTILE(Data!I$4:I$195,3),3,4)))</f>
        <v>4</v>
      </c>
      <c r="J24" s="3">
        <f>IF(Data!J24&lt;=QUARTILE(Data!J$4:J$195,1),1,IF(Data!J24&lt;=MEDIAN(Data!J$4:J$195),2,IF(Data!J24&lt;=QUARTILE(Data!J$4:J$195,3),3,4)))</f>
        <v>4</v>
      </c>
      <c r="K24" s="3">
        <f>IF(Data!K24&lt;=QUARTILE(Data!K$4:K$195,1),1,IF(Data!K24&lt;=MEDIAN(Data!K$4:K$195),2,IF(Data!K24&lt;=QUARTILE(Data!K$4:K$195,3),3,4)))</f>
        <v>3</v>
      </c>
      <c r="L24" s="5">
        <f>IF(Data!L24&lt;=QUARTILE(Data!L$4:L$195,1),1,IF(Data!L24&lt;=MEDIAN(Data!L$4:L$195),2,IF(Data!L24&lt;=QUARTILE(Data!L$4:L$195,3),3,4)))</f>
        <v>4</v>
      </c>
      <c r="M24" s="4">
        <f>IF(Data!M24&lt;=QUARTILE(Data!M$4:M$195,1),1,IF(Data!M24&lt;=MEDIAN(Data!M$4:M$195),2,IF(Data!M24&lt;=QUARTILE(Data!M$4:M$195,3),3,4)))</f>
        <v>3</v>
      </c>
      <c r="N24" s="3">
        <f>IF(Data!N24&lt;=QUARTILE(Data!N$4:N$195,1),1,IF(Data!N24&lt;=MEDIAN(Data!N$4:N$195),2,IF(Data!N24&lt;=QUARTILE(Data!N$4:N$195,3),3,4)))</f>
        <v>3</v>
      </c>
      <c r="O24" s="3">
        <f>IF(Data!O24&lt;=QUARTILE(Data!O$4:O$195,1),1,IF(Data!O24&lt;=MEDIAN(Data!O$4:O$195),2,IF(Data!O24&lt;=QUARTILE(Data!O$4:O$195,3),3,4)))</f>
        <v>4</v>
      </c>
      <c r="P24" s="3">
        <f>IF(Data!P24&lt;=QUARTILE(Data!P$4:P$195,1),1,IF(Data!P24&lt;=MEDIAN(Data!P$4:P$195),2,IF(Data!P24&lt;=QUARTILE(Data!P$4:P$195,3),3,4)))</f>
        <v>4</v>
      </c>
      <c r="Q24" s="3">
        <f>IF(Data!Q24&lt;=QUARTILE(Data!Q$4:Q$195,1),1,IF(Data!Q24&lt;=MEDIAN(Data!Q$4:Q$195),2,IF(Data!Q24&lt;=QUARTILE(Data!Q$4:Q$195,3),3,4)))</f>
        <v>4</v>
      </c>
      <c r="R24" s="3">
        <f>IF(Data!R24&lt;=QUARTILE(Data!R$4:R$195,1),1,IF(Data!R24&lt;=MEDIAN(Data!R$4:R$195),2,IF(Data!R24&lt;=QUARTILE(Data!R$4:R$195,3),3,4)))</f>
        <v>4</v>
      </c>
      <c r="S24" s="3">
        <f>IF(Data!S24&lt;=QUARTILE(Data!S$4:S$195,1),1,IF(Data!S24&lt;=MEDIAN(Data!S$4:S$195),2,IF(Data!S24&lt;=QUARTILE(Data!S$4:S$195,3),3,4)))</f>
        <v>2</v>
      </c>
      <c r="T24" s="5">
        <f>IF(Data!T24&lt;=QUARTILE(Data!T$4:T$195,1),1,IF(Data!T24&lt;=MEDIAN(Data!T$4:T$195),2,IF(Data!T24&lt;=QUARTILE(Data!T$4:T$195,3),3,4)))</f>
        <v>3</v>
      </c>
      <c r="U24" s="4">
        <f>IF(Data!U24&lt;=QUARTILE(Data!U$4:U$195,1),1,IF(Data!U24&lt;=MEDIAN(Data!U$4:U$195),2,IF(Data!U24&lt;=QUARTILE(Data!U$4:U$195,3),3,4)))</f>
        <v>3</v>
      </c>
      <c r="V24" s="3">
        <f>IF(Data!V24&lt;=QUARTILE(Data!V$4:V$195,1),1,IF(Data!V24&lt;=MEDIAN(Data!V$4:V$195),2,IF(Data!V24&lt;=QUARTILE(Data!V$4:V$195,3),3,4)))</f>
        <v>3</v>
      </c>
      <c r="W24" s="3">
        <f>IF(Data!W24&lt;=QUARTILE(Data!W$4:W$195,1),1,IF(Data!W24&lt;=MEDIAN(Data!W$4:W$195),2,IF(Data!W24&lt;=QUARTILE(Data!W$4:W$195,3),3,4)))</f>
        <v>3</v>
      </c>
      <c r="X24" s="3">
        <f>IF(Data!X24&lt;=QUARTILE(Data!X$4:X$195,1),1,IF(Data!X24&lt;=MEDIAN(Data!X$4:X$195),2,IF(Data!X24&lt;=QUARTILE(Data!X$4:X$195,3),3,4)))</f>
        <v>3</v>
      </c>
      <c r="Y24" s="4">
        <f>IF(Data!Y24&lt;=QUARTILE(Data!Y$4:Y$195,1),1,IF(Data!Y24&lt;=MEDIAN(Data!Y$4:Y$195),2,IF(Data!Y24&lt;=QUARTILE(Data!Y$4:Y$195,3),3,4)))</f>
        <v>2</v>
      </c>
      <c r="Z24" s="5">
        <f>IF(Data!Z24&lt;=QUARTILE(Data!Z$4:Z$195,1),1,IF(Data!Z24&lt;=MEDIAN(Data!Z$4:Z$195),2,IF(Data!Z24&lt;=QUARTILE(Data!Z$4:Z$195,3),3,4)))</f>
        <v>4</v>
      </c>
      <c r="AA24" s="4">
        <f>IF(Data!AA24&lt;=QUARTILE(Data!AA$4:AA$195,1),1,IF(Data!AA24&lt;=MEDIAN(Data!AA$4:AA$195),2,IF(Data!AA24&lt;=QUARTILE(Data!AA$4:AA$195,3),3,4)))</f>
        <v>2</v>
      </c>
      <c r="AB24" s="5">
        <f>IF(Data!AB24&lt;=QUARTILE(Data!AB$4:AB$195,1),1,IF(Data!AB24&lt;=MEDIAN(Data!AB$4:AB$195),2,IF(Data!AB24&lt;=QUARTILE(Data!AB$4:AB$195,3),3,4)))</f>
        <v>3</v>
      </c>
      <c r="AC24" s="4">
        <f>IF(Data!AC24&lt;=QUARTILE(Data!AC$4:AC$195,1),1,IF(Data!AC24&lt;=MEDIAN(Data!AC$4:AC$195),2,IF(Data!AC24&lt;=QUARTILE(Data!AC$4:AC$195,3),3,4)))</f>
        <v>3</v>
      </c>
      <c r="AD24" s="5">
        <f>IF(Data!AD24&lt;=QUARTILE(Data!AD$4:AD$195,1),1,IF(Data!AD24&lt;=MEDIAN(Data!AD$4:AD$195),2,IF(Data!AD24&lt;=QUARTILE(Data!AD$4:AD$195,3),3,4)))</f>
        <v>2</v>
      </c>
      <c r="AE24" s="4">
        <f>IF(Data!AE24&lt;=QUARTILE(Data!AE$4:AE$195,1),1,IF(Data!AE24&lt;=MEDIAN(Data!AE$4:AE$195),2,IF(Data!AE24&lt;=QUARTILE(Data!AE$4:AE$195,3),3,4)))</f>
        <v>4</v>
      </c>
      <c r="AF24" s="3">
        <f>IF(Data!AF24&lt;=QUARTILE(Data!AF$4:AF$195,1),1,IF(Data!AF24&lt;=MEDIAN(Data!AF$4:AF$195),2,IF(Data!AF24&lt;=QUARTILE(Data!AF$4:AF$195,3),3,4)))</f>
        <v>4</v>
      </c>
      <c r="AG24" s="3">
        <f>IF(Data!AG24&lt;=QUARTILE(Data!AG$4:AG$195,1),1,IF(Data!AG24&lt;=MEDIAN(Data!AG$4:AG$195),2,IF(Data!AG24&lt;=QUARTILE(Data!AG$4:AG$195,3),3,4)))</f>
        <v>1</v>
      </c>
      <c r="AH24" s="3">
        <f>IF(Data!AH24&lt;=QUARTILE(Data!AH$4:AH$195,1),1,IF(Data!AH24&lt;=MEDIAN(Data!AH$4:AH$195),2,IF(Data!AH24&lt;=QUARTILE(Data!AH$4:AH$195,3),3,4)))</f>
        <v>1</v>
      </c>
      <c r="AI24" s="4">
        <f>IF(Data!AI24&lt;=QUARTILE(Data!AI$4:AI$195,1),1,IF(Data!AI24&lt;=MEDIAN(Data!AI$4:AI$195),2,IF(Data!AI24&lt;=QUARTILE(Data!AI$4:AI$195,3),3,4)))</f>
        <v>1</v>
      </c>
      <c r="AJ24" s="5">
        <f>IF(Data!AJ24&lt;=QUARTILE(Data!AJ$4:AJ$195,1),1,IF(Data!AJ24&lt;=MEDIAN(Data!AJ$4:AJ$195),2,IF(Data!AJ24&lt;=QUARTILE(Data!AJ$4:AJ$195,3),3,4)))</f>
        <v>1</v>
      </c>
      <c r="AK24" s="4">
        <f>IF(Data!AK24&lt;=QUARTILE(Data!AK$4:AK$195,1),1,IF(Data!AK24&lt;=MEDIAN(Data!AK$4:AK$195),2,IF(Data!AK24&lt;=QUARTILE(Data!AK$4:AK$195,3),3,4)))</f>
        <v>4</v>
      </c>
      <c r="AL24" s="3">
        <f>IF(Data!AL24&lt;=QUARTILE(Data!AL$4:AL$195,1),1,IF(Data!AL24&lt;=MEDIAN(Data!AL$4:AL$195),2,IF(Data!AL24&lt;=QUARTILE(Data!AL$4:AL$195,3),3,4)))</f>
        <v>2</v>
      </c>
      <c r="AM24" s="3">
        <f>IF(Data!AM24&lt;=QUARTILE(Data!AM$4:AM$195,1),1,IF(Data!AM24&lt;=MEDIAN(Data!AM$4:AM$195),2,IF(Data!AM24&lt;=QUARTILE(Data!AM$4:AM$195,3),3,4)))</f>
        <v>1</v>
      </c>
      <c r="AN24" s="5">
        <f>IF(Data!AN24&lt;=QUARTILE(Data!AN$4:AN$195,1),1,IF(Data!AN24&lt;=MEDIAN(Data!AN$4:AN$195),2,IF(Data!AN24&lt;=QUARTILE(Data!AN$4:AN$195,3),3,4)))</f>
        <v>3</v>
      </c>
      <c r="AO24" s="4">
        <f>IF(Data!AO24&lt;=QUARTILE(Data!AO$4:AO$195,1),1,IF(Data!AO24&lt;=MEDIAN(Data!AO$4:AO$195),2,IF(Data!AO24&lt;=QUARTILE(Data!AO$4:AO$195,3),3,4)))</f>
        <v>2</v>
      </c>
      <c r="AP24" s="3">
        <f>IF(Data!AP24&lt;=QUARTILE(Data!AP$4:AP$195,1),1,IF(Data!AP24&lt;=MEDIAN(Data!AP$4:AP$195),2,IF(Data!AP24&lt;=QUARTILE(Data!AP$4:AP$195,3),3,4)))</f>
        <v>2</v>
      </c>
      <c r="AQ24" s="3">
        <f>IF(Data!AQ24&lt;=QUARTILE(Data!AQ$4:AQ$195,1),1,IF(Data!AQ24&lt;=MEDIAN(Data!AQ$4:AQ$195),2,IF(Data!AQ24&lt;=QUARTILE(Data!AQ$4:AQ$195,3),3,4)))</f>
        <v>3</v>
      </c>
      <c r="AR24" s="3">
        <f>IF(Data!AR24&lt;=QUARTILE(Data!AR$4:AR$195,1),1,IF(Data!AR24&lt;=MEDIAN(Data!AR$4:AR$195),2,IF(Data!AR24&lt;=QUARTILE(Data!AR$4:AR$195,3),3,4)))</f>
        <v>4</v>
      </c>
      <c r="AS24" s="3">
        <f>IF(Data!AS24&lt;=QUARTILE(Data!AS$4:AS$195,1),1,IF(Data!AS24&lt;=MEDIAN(Data!AS$4:AS$195),2,IF(Data!AS24&lt;=QUARTILE(Data!AS$4:AS$195,3),3,4)))</f>
        <v>3</v>
      </c>
      <c r="AT24" s="3">
        <f>IF(Data!AT24&lt;=QUARTILE(Data!AT$4:AT$195,1),1,IF(Data!AT24&lt;=MEDIAN(Data!AT$4:AT$195),2,IF(Data!AT24&lt;=QUARTILE(Data!AT$4:AT$195,3),3,4)))</f>
        <v>2</v>
      </c>
      <c r="AU24" s="5">
        <f>IF(Data!AU24&lt;=QUARTILE(Data!AU$4:AU$195,1),1,IF(Data!AU24&lt;=MEDIAN(Data!AU$4:AU$195),2,IF(Data!AU24&lt;=QUARTILE(Data!AU$4:AU$195,3),3,4)))</f>
        <v>3</v>
      </c>
      <c r="AV24" s="4">
        <f>IF(Data!AV24&lt;=QUARTILE(Data!AV$4:AV$195,1),1,IF(Data!AV24&lt;=MEDIAN(Data!AV$4:AV$195),2,IF(Data!AV24&lt;=QUARTILE(Data!AV$4:AV$195,3),3,4)))</f>
        <v>2</v>
      </c>
      <c r="AW24" s="3">
        <f>IF(Data!AW24&lt;=QUARTILE(Data!AW$4:AW$195,1),1,IF(Data!AW24&lt;=MEDIAN(Data!AW$4:AW$195),2,IF(Data!AW24&lt;=QUARTILE(Data!AW$4:AW$195,3),3,4)))</f>
        <v>2</v>
      </c>
      <c r="AX24" s="3">
        <f>IF(Data!AX24&lt;=QUARTILE(Data!AX$4:AX$195,1),1,IF(Data!AX24&lt;=MEDIAN(Data!AX$4:AX$195),2,IF(Data!AX24&lt;=QUARTILE(Data!AX$4:AX$195,3),3,4)))</f>
        <v>4</v>
      </c>
      <c r="AY24" s="3">
        <f>IF(Data!AY24&lt;=QUARTILE(Data!AY$4:AY$195,1),1,IF(Data!AY24&lt;=MEDIAN(Data!AY$4:AY$195),2,IF(Data!AY24&lt;=QUARTILE(Data!AY$4:AY$195,3),3,4)))</f>
        <v>3</v>
      </c>
      <c r="AZ24" s="4">
        <f>IF(Data!AZ24&lt;=QUARTILE(Data!AZ$4:AZ$195,1),1,IF(Data!AZ24&lt;=MEDIAN(Data!AZ$4:AZ$195),2,IF(Data!AZ24&lt;=QUARTILE(Data!AZ$4:AZ$195,3),3,4)))</f>
        <v>1</v>
      </c>
      <c r="BA24" s="5">
        <f>IF(Data!BA24&lt;=QUARTILE(Data!BA$4:BA$195,1),1,IF(Data!BA24&lt;=MEDIAN(Data!BA$4:BA$195),2,IF(Data!BA24&lt;=QUARTILE(Data!BA$4:BA$195,3),3,4)))</f>
        <v>2</v>
      </c>
    </row>
    <row r="25" spans="1:53" x14ac:dyDescent="0.25">
      <c r="A25" s="4" t="s">
        <v>4</v>
      </c>
      <c r="B25" s="40">
        <v>2009</v>
      </c>
      <c r="C25" s="4">
        <v>9</v>
      </c>
      <c r="D25" s="3">
        <v>7</v>
      </c>
      <c r="E25" s="71" t="s">
        <v>97</v>
      </c>
      <c r="F25" s="3">
        <v>8.6</v>
      </c>
      <c r="G25" s="3">
        <v>1.1000000000000001</v>
      </c>
      <c r="H25" s="5">
        <v>7.5</v>
      </c>
      <c r="I25" s="4">
        <f>IF(Data!I25&lt;=QUARTILE(Data!I$4:I$195,1),1,IF(Data!I25&lt;=MEDIAN(Data!I$4:I$195),2,IF(Data!I25&lt;=QUARTILE(Data!I$4:I$195,3),3,4)))</f>
        <v>3</v>
      </c>
      <c r="J25" s="3">
        <f>IF(Data!J25&lt;=QUARTILE(Data!J$4:J$195,1),1,IF(Data!J25&lt;=MEDIAN(Data!J$4:J$195),2,IF(Data!J25&lt;=QUARTILE(Data!J$4:J$195,3),3,4)))</f>
        <v>2</v>
      </c>
      <c r="K25" s="3">
        <f>IF(Data!K25&lt;=QUARTILE(Data!K$4:K$195,1),1,IF(Data!K25&lt;=MEDIAN(Data!K$4:K$195),2,IF(Data!K25&lt;=QUARTILE(Data!K$4:K$195,3),3,4)))</f>
        <v>3</v>
      </c>
      <c r="L25" s="5">
        <f>IF(Data!L25&lt;=QUARTILE(Data!L$4:L$195,1),1,IF(Data!L25&lt;=MEDIAN(Data!L$4:L$195),2,IF(Data!L25&lt;=QUARTILE(Data!L$4:L$195,3),3,4)))</f>
        <v>2</v>
      </c>
      <c r="M25" s="4">
        <f>IF(Data!M25&lt;=QUARTILE(Data!M$4:M$195,1),1,IF(Data!M25&lt;=MEDIAN(Data!M$4:M$195),2,IF(Data!M25&lt;=QUARTILE(Data!M$4:M$195,3),3,4)))</f>
        <v>1</v>
      </c>
      <c r="N25" s="3">
        <f>IF(Data!N25&lt;=QUARTILE(Data!N$4:N$195,1),1,IF(Data!N25&lt;=MEDIAN(Data!N$4:N$195),2,IF(Data!N25&lt;=QUARTILE(Data!N$4:N$195,3),3,4)))</f>
        <v>1</v>
      </c>
      <c r="O25" s="3">
        <f>IF(Data!O25&lt;=QUARTILE(Data!O$4:O$195,1),1,IF(Data!O25&lt;=MEDIAN(Data!O$4:O$195),2,IF(Data!O25&lt;=QUARTILE(Data!O$4:O$195,3),3,4)))</f>
        <v>1</v>
      </c>
      <c r="P25" s="3">
        <f>IF(Data!P25&lt;=QUARTILE(Data!P$4:P$195,1),1,IF(Data!P25&lt;=MEDIAN(Data!P$4:P$195),2,IF(Data!P25&lt;=QUARTILE(Data!P$4:P$195,3),3,4)))</f>
        <v>1</v>
      </c>
      <c r="Q25" s="3">
        <f>IF(Data!Q25&lt;=QUARTILE(Data!Q$4:Q$195,1),1,IF(Data!Q25&lt;=MEDIAN(Data!Q$4:Q$195),2,IF(Data!Q25&lt;=QUARTILE(Data!Q$4:Q$195,3),3,4)))</f>
        <v>1</v>
      </c>
      <c r="R25" s="3">
        <f>IF(Data!R25&lt;=QUARTILE(Data!R$4:R$195,1),1,IF(Data!R25&lt;=MEDIAN(Data!R$4:R$195),2,IF(Data!R25&lt;=QUARTILE(Data!R$4:R$195,3),3,4)))</f>
        <v>1</v>
      </c>
      <c r="S25" s="3">
        <f>IF(Data!S25&lt;=QUARTILE(Data!S$4:S$195,1),1,IF(Data!S25&lt;=MEDIAN(Data!S$4:S$195),2,IF(Data!S25&lt;=QUARTILE(Data!S$4:S$195,3),3,4)))</f>
        <v>2</v>
      </c>
      <c r="T25" s="5">
        <f>IF(Data!T25&lt;=QUARTILE(Data!T$4:T$195,1),1,IF(Data!T25&lt;=MEDIAN(Data!T$4:T$195),2,IF(Data!T25&lt;=QUARTILE(Data!T$4:T$195,3),3,4)))</f>
        <v>2</v>
      </c>
      <c r="U25" s="4">
        <f>IF(Data!U25&lt;=QUARTILE(Data!U$4:U$195,1),1,IF(Data!U25&lt;=MEDIAN(Data!U$4:U$195),2,IF(Data!U25&lt;=QUARTILE(Data!U$4:U$195,3),3,4)))</f>
        <v>4</v>
      </c>
      <c r="V25" s="3">
        <f>IF(Data!V25&lt;=QUARTILE(Data!V$4:V$195,1),1,IF(Data!V25&lt;=MEDIAN(Data!V$4:V$195),2,IF(Data!V25&lt;=QUARTILE(Data!V$4:V$195,3),3,4)))</f>
        <v>4</v>
      </c>
      <c r="W25" s="3">
        <f>IF(Data!W25&lt;=QUARTILE(Data!W$4:W$195,1),1,IF(Data!W25&lt;=MEDIAN(Data!W$4:W$195),2,IF(Data!W25&lt;=QUARTILE(Data!W$4:W$195,3),3,4)))</f>
        <v>4</v>
      </c>
      <c r="X25" s="3">
        <f>IF(Data!X25&lt;=QUARTILE(Data!X$4:X$195,1),1,IF(Data!X25&lt;=MEDIAN(Data!X$4:X$195),2,IF(Data!X25&lt;=QUARTILE(Data!X$4:X$195,3),3,4)))</f>
        <v>4</v>
      </c>
      <c r="Y25" s="4">
        <f>IF(Data!Y25&lt;=QUARTILE(Data!Y$4:Y$195,1),1,IF(Data!Y25&lt;=MEDIAN(Data!Y$4:Y$195),2,IF(Data!Y25&lt;=QUARTILE(Data!Y$4:Y$195,3),3,4)))</f>
        <v>4</v>
      </c>
      <c r="Z25" s="5">
        <f>IF(Data!Z25&lt;=QUARTILE(Data!Z$4:Z$195,1),1,IF(Data!Z25&lt;=MEDIAN(Data!Z$4:Z$195),2,IF(Data!Z25&lt;=QUARTILE(Data!Z$4:Z$195,3),3,4)))</f>
        <v>1</v>
      </c>
      <c r="AA25" s="4">
        <f>IF(Data!AA25&lt;=QUARTILE(Data!AA$4:AA$195,1),1,IF(Data!AA25&lt;=MEDIAN(Data!AA$4:AA$195),2,IF(Data!AA25&lt;=QUARTILE(Data!AA$4:AA$195,3),3,4)))</f>
        <v>4</v>
      </c>
      <c r="AB25" s="5">
        <f>IF(Data!AB25&lt;=QUARTILE(Data!AB$4:AB$195,1),1,IF(Data!AB25&lt;=MEDIAN(Data!AB$4:AB$195),2,IF(Data!AB25&lt;=QUARTILE(Data!AB$4:AB$195,3),3,4)))</f>
        <v>4</v>
      </c>
      <c r="AC25" s="4">
        <f>IF(Data!AC25&lt;=QUARTILE(Data!AC$4:AC$195,1),1,IF(Data!AC25&lt;=MEDIAN(Data!AC$4:AC$195),2,IF(Data!AC25&lt;=QUARTILE(Data!AC$4:AC$195,3),3,4)))</f>
        <v>1</v>
      </c>
      <c r="AD25" s="5">
        <f>IF(Data!AD25&lt;=QUARTILE(Data!AD$4:AD$195,1),1,IF(Data!AD25&lt;=MEDIAN(Data!AD$4:AD$195),2,IF(Data!AD25&lt;=QUARTILE(Data!AD$4:AD$195,3),3,4)))</f>
        <v>1</v>
      </c>
      <c r="AE25" s="4">
        <f>IF(Data!AE25&lt;=QUARTILE(Data!AE$4:AE$195,1),1,IF(Data!AE25&lt;=MEDIAN(Data!AE$4:AE$195),2,IF(Data!AE25&lt;=QUARTILE(Data!AE$4:AE$195,3),3,4)))</f>
        <v>4</v>
      </c>
      <c r="AF25" s="3">
        <f>IF(Data!AF25&lt;=QUARTILE(Data!AF$4:AF$195,1),1,IF(Data!AF25&lt;=MEDIAN(Data!AF$4:AF$195),2,IF(Data!AF25&lt;=QUARTILE(Data!AF$4:AF$195,3),3,4)))</f>
        <v>3</v>
      </c>
      <c r="AG25" s="3">
        <f>IF(Data!AG25&lt;=QUARTILE(Data!AG$4:AG$195,1),1,IF(Data!AG25&lt;=MEDIAN(Data!AG$4:AG$195),2,IF(Data!AG25&lt;=QUARTILE(Data!AG$4:AG$195,3),3,4)))</f>
        <v>4</v>
      </c>
      <c r="AH25" s="3">
        <f>IF(Data!AH25&lt;=QUARTILE(Data!AH$4:AH$195,1),1,IF(Data!AH25&lt;=MEDIAN(Data!AH$4:AH$195),2,IF(Data!AH25&lt;=QUARTILE(Data!AH$4:AH$195,3),3,4)))</f>
        <v>4</v>
      </c>
      <c r="AI25" s="4">
        <f>IF(Data!AI25&lt;=QUARTILE(Data!AI$4:AI$195,1),1,IF(Data!AI25&lt;=MEDIAN(Data!AI$4:AI$195),2,IF(Data!AI25&lt;=QUARTILE(Data!AI$4:AI$195,3),3,4)))</f>
        <v>3</v>
      </c>
      <c r="AJ25" s="5">
        <f>IF(Data!AJ25&lt;=QUARTILE(Data!AJ$4:AJ$195,1),1,IF(Data!AJ25&lt;=MEDIAN(Data!AJ$4:AJ$195),2,IF(Data!AJ25&lt;=QUARTILE(Data!AJ$4:AJ$195,3),3,4)))</f>
        <v>1</v>
      </c>
      <c r="AK25" s="4">
        <f>IF(Data!AK25&lt;=QUARTILE(Data!AK$4:AK$195,1),1,IF(Data!AK25&lt;=MEDIAN(Data!AK$4:AK$195),2,IF(Data!AK25&lt;=QUARTILE(Data!AK$4:AK$195,3),3,4)))</f>
        <v>1</v>
      </c>
      <c r="AL25" s="3">
        <f>IF(Data!AL25&lt;=QUARTILE(Data!AL$4:AL$195,1),1,IF(Data!AL25&lt;=MEDIAN(Data!AL$4:AL$195),2,IF(Data!AL25&lt;=QUARTILE(Data!AL$4:AL$195,3),3,4)))</f>
        <v>1</v>
      </c>
      <c r="AM25" s="3">
        <f>IF(Data!AM25&lt;=QUARTILE(Data!AM$4:AM$195,1),1,IF(Data!AM25&lt;=MEDIAN(Data!AM$4:AM$195),2,IF(Data!AM25&lt;=QUARTILE(Data!AM$4:AM$195,3),3,4)))</f>
        <v>1</v>
      </c>
      <c r="AN25" s="5">
        <f>IF(Data!AN25&lt;=QUARTILE(Data!AN$4:AN$195,1),1,IF(Data!AN25&lt;=MEDIAN(Data!AN$4:AN$195),2,IF(Data!AN25&lt;=QUARTILE(Data!AN$4:AN$195,3),3,4)))</f>
        <v>1</v>
      </c>
      <c r="AO25" s="4">
        <f>IF(Data!AO25&lt;=QUARTILE(Data!AO$4:AO$195,1),1,IF(Data!AO25&lt;=MEDIAN(Data!AO$4:AO$195),2,IF(Data!AO25&lt;=QUARTILE(Data!AO$4:AO$195,3),3,4)))</f>
        <v>1</v>
      </c>
      <c r="AP25" s="3">
        <f>IF(Data!AP25&lt;=QUARTILE(Data!AP$4:AP$195,1),1,IF(Data!AP25&lt;=MEDIAN(Data!AP$4:AP$195),2,IF(Data!AP25&lt;=QUARTILE(Data!AP$4:AP$195,3),3,4)))</f>
        <v>2</v>
      </c>
      <c r="AQ25" s="3">
        <f>IF(Data!AQ25&lt;=QUARTILE(Data!AQ$4:AQ$195,1),1,IF(Data!AQ25&lt;=MEDIAN(Data!AQ$4:AQ$195),2,IF(Data!AQ25&lt;=QUARTILE(Data!AQ$4:AQ$195,3),3,4)))</f>
        <v>1</v>
      </c>
      <c r="AR25" s="3">
        <f>IF(Data!AR25&lt;=QUARTILE(Data!AR$4:AR$195,1),1,IF(Data!AR25&lt;=MEDIAN(Data!AR$4:AR$195),2,IF(Data!AR25&lt;=QUARTILE(Data!AR$4:AR$195,3),3,4)))</f>
        <v>1</v>
      </c>
      <c r="AS25" s="3">
        <f>IF(Data!AS25&lt;=QUARTILE(Data!AS$4:AS$195,1),1,IF(Data!AS25&lt;=MEDIAN(Data!AS$4:AS$195),2,IF(Data!AS25&lt;=QUARTILE(Data!AS$4:AS$195,3),3,4)))</f>
        <v>1</v>
      </c>
      <c r="AT25" s="3">
        <f>IF(Data!AT25&lt;=QUARTILE(Data!AT$4:AT$195,1),1,IF(Data!AT25&lt;=MEDIAN(Data!AT$4:AT$195),2,IF(Data!AT25&lt;=QUARTILE(Data!AT$4:AT$195,3),3,4)))</f>
        <v>2</v>
      </c>
      <c r="AU25" s="5">
        <f>IF(Data!AU25&lt;=QUARTILE(Data!AU$4:AU$195,1),1,IF(Data!AU25&lt;=MEDIAN(Data!AU$4:AU$195),2,IF(Data!AU25&lt;=QUARTILE(Data!AU$4:AU$195,3),3,4)))</f>
        <v>3</v>
      </c>
      <c r="AV25" s="4">
        <f>IF(Data!AV25&lt;=QUARTILE(Data!AV$4:AV$195,1),1,IF(Data!AV25&lt;=MEDIAN(Data!AV$4:AV$195),2,IF(Data!AV25&lt;=QUARTILE(Data!AV$4:AV$195,3),3,4)))</f>
        <v>2</v>
      </c>
      <c r="AW25" s="3">
        <f>IF(Data!AW25&lt;=QUARTILE(Data!AW$4:AW$195,1),1,IF(Data!AW25&lt;=MEDIAN(Data!AW$4:AW$195),2,IF(Data!AW25&lt;=QUARTILE(Data!AW$4:AW$195,3),3,4)))</f>
        <v>1</v>
      </c>
      <c r="AX25" s="3">
        <f>IF(Data!AX25&lt;=QUARTILE(Data!AX$4:AX$195,1),1,IF(Data!AX25&lt;=MEDIAN(Data!AX$4:AX$195),2,IF(Data!AX25&lt;=QUARTILE(Data!AX$4:AX$195,3),3,4)))</f>
        <v>2</v>
      </c>
      <c r="AY25" s="3">
        <f>IF(Data!AY25&lt;=QUARTILE(Data!AY$4:AY$195,1),1,IF(Data!AY25&lt;=MEDIAN(Data!AY$4:AY$195),2,IF(Data!AY25&lt;=QUARTILE(Data!AY$4:AY$195,3),3,4)))</f>
        <v>2</v>
      </c>
      <c r="AZ25" s="4">
        <f>IF(Data!AZ25&lt;=QUARTILE(Data!AZ$4:AZ$195,1),1,IF(Data!AZ25&lt;=MEDIAN(Data!AZ$4:AZ$195),2,IF(Data!AZ25&lt;=QUARTILE(Data!AZ$4:AZ$195,3),3,4)))</f>
        <v>3</v>
      </c>
      <c r="BA25" s="5">
        <f>IF(Data!BA25&lt;=QUARTILE(Data!BA$4:BA$195,1),1,IF(Data!BA25&lt;=MEDIAN(Data!BA$4:BA$195),2,IF(Data!BA25&lt;=QUARTILE(Data!BA$4:BA$195,3),3,4)))</f>
        <v>3</v>
      </c>
    </row>
    <row r="26" spans="1:53" x14ac:dyDescent="0.25">
      <c r="A26" s="4" t="s">
        <v>17</v>
      </c>
      <c r="B26" s="40">
        <v>2009</v>
      </c>
      <c r="C26" s="4">
        <v>5</v>
      </c>
      <c r="D26" s="3">
        <v>11</v>
      </c>
      <c r="E26" s="71" t="s">
        <v>96</v>
      </c>
      <c r="F26" s="3">
        <v>-10.3</v>
      </c>
      <c r="G26" s="3">
        <v>-8.6999999999999993</v>
      </c>
      <c r="H26" s="5">
        <v>-1.6</v>
      </c>
      <c r="I26" s="4">
        <f>IF(Data!I26&lt;=QUARTILE(Data!I$4:I$195,1),1,IF(Data!I26&lt;=MEDIAN(Data!I$4:I$195),2,IF(Data!I26&lt;=QUARTILE(Data!I$4:I$195,3),3,4)))</f>
        <v>1</v>
      </c>
      <c r="J26" s="3">
        <f>IF(Data!J26&lt;=QUARTILE(Data!J$4:J$195,1),1,IF(Data!J26&lt;=MEDIAN(Data!J$4:J$195),2,IF(Data!J26&lt;=QUARTILE(Data!J$4:J$195,3),3,4)))</f>
        <v>1</v>
      </c>
      <c r="K26" s="3">
        <f>IF(Data!K26&lt;=QUARTILE(Data!K$4:K$195,1),1,IF(Data!K26&lt;=MEDIAN(Data!K$4:K$195),2,IF(Data!K26&lt;=QUARTILE(Data!K$4:K$195,3),3,4)))</f>
        <v>1</v>
      </c>
      <c r="L26" s="5">
        <f>IF(Data!L26&lt;=QUARTILE(Data!L$4:L$195,1),1,IF(Data!L26&lt;=MEDIAN(Data!L$4:L$195),2,IF(Data!L26&lt;=QUARTILE(Data!L$4:L$195,3),3,4)))</f>
        <v>1</v>
      </c>
      <c r="M26" s="4">
        <f>IF(Data!M26&lt;=QUARTILE(Data!M$4:M$195,1),1,IF(Data!M26&lt;=MEDIAN(Data!M$4:M$195),2,IF(Data!M26&lt;=QUARTILE(Data!M$4:M$195,3),3,4)))</f>
        <v>1</v>
      </c>
      <c r="N26" s="3">
        <f>IF(Data!N26&lt;=QUARTILE(Data!N$4:N$195,1),1,IF(Data!N26&lt;=MEDIAN(Data!N$4:N$195),2,IF(Data!N26&lt;=QUARTILE(Data!N$4:N$195,3),3,4)))</f>
        <v>2</v>
      </c>
      <c r="O26" s="3">
        <f>IF(Data!O26&lt;=QUARTILE(Data!O$4:O$195,1),1,IF(Data!O26&lt;=MEDIAN(Data!O$4:O$195),2,IF(Data!O26&lt;=QUARTILE(Data!O$4:O$195,3),3,4)))</f>
        <v>1</v>
      </c>
      <c r="P26" s="3">
        <f>IF(Data!P26&lt;=QUARTILE(Data!P$4:P$195,1),1,IF(Data!P26&lt;=MEDIAN(Data!P$4:P$195),2,IF(Data!P26&lt;=QUARTILE(Data!P$4:P$195,3),3,4)))</f>
        <v>1</v>
      </c>
      <c r="Q26" s="3">
        <f>IF(Data!Q26&lt;=QUARTILE(Data!Q$4:Q$195,1),1,IF(Data!Q26&lt;=MEDIAN(Data!Q$4:Q$195),2,IF(Data!Q26&lt;=QUARTILE(Data!Q$4:Q$195,3),3,4)))</f>
        <v>1</v>
      </c>
      <c r="R26" s="3">
        <f>IF(Data!R26&lt;=QUARTILE(Data!R$4:R$195,1),1,IF(Data!R26&lt;=MEDIAN(Data!R$4:R$195),2,IF(Data!R26&lt;=QUARTILE(Data!R$4:R$195,3),3,4)))</f>
        <v>1</v>
      </c>
      <c r="S26" s="3">
        <f>IF(Data!S26&lt;=QUARTILE(Data!S$4:S$195,1),1,IF(Data!S26&lt;=MEDIAN(Data!S$4:S$195),2,IF(Data!S26&lt;=QUARTILE(Data!S$4:S$195,3),3,4)))</f>
        <v>4</v>
      </c>
      <c r="T26" s="5">
        <f>IF(Data!T26&lt;=QUARTILE(Data!T$4:T$195,1),1,IF(Data!T26&lt;=MEDIAN(Data!T$4:T$195),2,IF(Data!T26&lt;=QUARTILE(Data!T$4:T$195,3),3,4)))</f>
        <v>4</v>
      </c>
      <c r="U26" s="4">
        <f>IF(Data!U26&lt;=QUARTILE(Data!U$4:U$195,1),1,IF(Data!U26&lt;=MEDIAN(Data!U$4:U$195),2,IF(Data!U26&lt;=QUARTILE(Data!U$4:U$195,3),3,4)))</f>
        <v>2</v>
      </c>
      <c r="V26" s="3">
        <f>IF(Data!V26&lt;=QUARTILE(Data!V$4:V$195,1),1,IF(Data!V26&lt;=MEDIAN(Data!V$4:V$195),2,IF(Data!V26&lt;=QUARTILE(Data!V$4:V$195,3),3,4)))</f>
        <v>2</v>
      </c>
      <c r="W26" s="3">
        <f>IF(Data!W26&lt;=QUARTILE(Data!W$4:W$195,1),1,IF(Data!W26&lt;=MEDIAN(Data!W$4:W$195),2,IF(Data!W26&lt;=QUARTILE(Data!W$4:W$195,3),3,4)))</f>
        <v>1</v>
      </c>
      <c r="X26" s="3">
        <f>IF(Data!X26&lt;=QUARTILE(Data!X$4:X$195,1),1,IF(Data!X26&lt;=MEDIAN(Data!X$4:X$195),2,IF(Data!X26&lt;=QUARTILE(Data!X$4:X$195,3),3,4)))</f>
        <v>1</v>
      </c>
      <c r="Y26" s="4">
        <f>IF(Data!Y26&lt;=QUARTILE(Data!Y$4:Y$195,1),1,IF(Data!Y26&lt;=MEDIAN(Data!Y$4:Y$195),2,IF(Data!Y26&lt;=QUARTILE(Data!Y$4:Y$195,3),3,4)))</f>
        <v>3</v>
      </c>
      <c r="Z26" s="5">
        <f>IF(Data!Z26&lt;=QUARTILE(Data!Z$4:Z$195,1),1,IF(Data!Z26&lt;=MEDIAN(Data!Z$4:Z$195),2,IF(Data!Z26&lt;=QUARTILE(Data!Z$4:Z$195,3),3,4)))</f>
        <v>3</v>
      </c>
      <c r="AA26" s="4">
        <f>IF(Data!AA26&lt;=QUARTILE(Data!AA$4:AA$195,1),1,IF(Data!AA26&lt;=MEDIAN(Data!AA$4:AA$195),2,IF(Data!AA26&lt;=QUARTILE(Data!AA$4:AA$195,3),3,4)))</f>
        <v>2</v>
      </c>
      <c r="AB26" s="5">
        <f>IF(Data!AB26&lt;=QUARTILE(Data!AB$4:AB$195,1),1,IF(Data!AB26&lt;=MEDIAN(Data!AB$4:AB$195),2,IF(Data!AB26&lt;=QUARTILE(Data!AB$4:AB$195,3),3,4)))</f>
        <v>1</v>
      </c>
      <c r="AC26" s="4">
        <f>IF(Data!AC26&lt;=QUARTILE(Data!AC$4:AC$195,1),1,IF(Data!AC26&lt;=MEDIAN(Data!AC$4:AC$195),2,IF(Data!AC26&lt;=QUARTILE(Data!AC$4:AC$195,3),3,4)))</f>
        <v>3</v>
      </c>
      <c r="AD26" s="5">
        <f>IF(Data!AD26&lt;=QUARTILE(Data!AD$4:AD$195,1),1,IF(Data!AD26&lt;=MEDIAN(Data!AD$4:AD$195),2,IF(Data!AD26&lt;=QUARTILE(Data!AD$4:AD$195,3),3,4)))</f>
        <v>1</v>
      </c>
      <c r="AE26" s="4">
        <f>IF(Data!AE26&lt;=QUARTILE(Data!AE$4:AE$195,1),1,IF(Data!AE26&lt;=MEDIAN(Data!AE$4:AE$195),2,IF(Data!AE26&lt;=QUARTILE(Data!AE$4:AE$195,3),3,4)))</f>
        <v>1</v>
      </c>
      <c r="AF26" s="3">
        <f>IF(Data!AF26&lt;=QUARTILE(Data!AF$4:AF$195,1),1,IF(Data!AF26&lt;=MEDIAN(Data!AF$4:AF$195),2,IF(Data!AF26&lt;=QUARTILE(Data!AF$4:AF$195,3),3,4)))</f>
        <v>1</v>
      </c>
      <c r="AG26" s="3">
        <f>IF(Data!AG26&lt;=QUARTILE(Data!AG$4:AG$195,1),1,IF(Data!AG26&lt;=MEDIAN(Data!AG$4:AG$195),2,IF(Data!AG26&lt;=QUARTILE(Data!AG$4:AG$195,3),3,4)))</f>
        <v>4</v>
      </c>
      <c r="AH26" s="3">
        <f>IF(Data!AH26&lt;=QUARTILE(Data!AH$4:AH$195,1),1,IF(Data!AH26&lt;=MEDIAN(Data!AH$4:AH$195),2,IF(Data!AH26&lt;=QUARTILE(Data!AH$4:AH$195,3),3,4)))</f>
        <v>4</v>
      </c>
      <c r="AI26" s="4">
        <f>IF(Data!AI26&lt;=QUARTILE(Data!AI$4:AI$195,1),1,IF(Data!AI26&lt;=MEDIAN(Data!AI$4:AI$195),2,IF(Data!AI26&lt;=QUARTILE(Data!AI$4:AI$195,3),3,4)))</f>
        <v>4</v>
      </c>
      <c r="AJ26" s="5">
        <f>IF(Data!AJ26&lt;=QUARTILE(Data!AJ$4:AJ$195,1),1,IF(Data!AJ26&lt;=MEDIAN(Data!AJ$4:AJ$195),2,IF(Data!AJ26&lt;=QUARTILE(Data!AJ$4:AJ$195,3),3,4)))</f>
        <v>1</v>
      </c>
      <c r="AK26" s="4">
        <f>IF(Data!AK26&lt;=QUARTILE(Data!AK$4:AK$195,1),1,IF(Data!AK26&lt;=MEDIAN(Data!AK$4:AK$195),2,IF(Data!AK26&lt;=QUARTILE(Data!AK$4:AK$195,3),3,4)))</f>
        <v>3</v>
      </c>
      <c r="AL26" s="3">
        <f>IF(Data!AL26&lt;=QUARTILE(Data!AL$4:AL$195,1),1,IF(Data!AL26&lt;=MEDIAN(Data!AL$4:AL$195),2,IF(Data!AL26&lt;=QUARTILE(Data!AL$4:AL$195,3),3,4)))</f>
        <v>4</v>
      </c>
      <c r="AM26" s="3">
        <f>IF(Data!AM26&lt;=QUARTILE(Data!AM$4:AM$195,1),1,IF(Data!AM26&lt;=MEDIAN(Data!AM$4:AM$195),2,IF(Data!AM26&lt;=QUARTILE(Data!AM$4:AM$195,3),3,4)))</f>
        <v>3</v>
      </c>
      <c r="AN26" s="5">
        <f>IF(Data!AN26&lt;=QUARTILE(Data!AN$4:AN$195,1),1,IF(Data!AN26&lt;=MEDIAN(Data!AN$4:AN$195),2,IF(Data!AN26&lt;=QUARTILE(Data!AN$4:AN$195,3),3,4)))</f>
        <v>3</v>
      </c>
      <c r="AO26" s="4">
        <f>IF(Data!AO26&lt;=QUARTILE(Data!AO$4:AO$195,1),1,IF(Data!AO26&lt;=MEDIAN(Data!AO$4:AO$195),2,IF(Data!AO26&lt;=QUARTILE(Data!AO$4:AO$195,3),3,4)))</f>
        <v>1</v>
      </c>
      <c r="AP26" s="3">
        <f>IF(Data!AP26&lt;=QUARTILE(Data!AP$4:AP$195,1),1,IF(Data!AP26&lt;=MEDIAN(Data!AP$4:AP$195),2,IF(Data!AP26&lt;=QUARTILE(Data!AP$4:AP$195,3),3,4)))</f>
        <v>1</v>
      </c>
      <c r="AQ26" s="3">
        <f>IF(Data!AQ26&lt;=QUARTILE(Data!AQ$4:AQ$195,1),1,IF(Data!AQ26&lt;=MEDIAN(Data!AQ$4:AQ$195),2,IF(Data!AQ26&lt;=QUARTILE(Data!AQ$4:AQ$195,3),3,4)))</f>
        <v>2</v>
      </c>
      <c r="AR26" s="3">
        <f>IF(Data!AR26&lt;=QUARTILE(Data!AR$4:AR$195,1),1,IF(Data!AR26&lt;=MEDIAN(Data!AR$4:AR$195),2,IF(Data!AR26&lt;=QUARTILE(Data!AR$4:AR$195,3),3,4)))</f>
        <v>1</v>
      </c>
      <c r="AS26" s="3">
        <f>IF(Data!AS26&lt;=QUARTILE(Data!AS$4:AS$195,1),1,IF(Data!AS26&lt;=MEDIAN(Data!AS$4:AS$195),2,IF(Data!AS26&lt;=QUARTILE(Data!AS$4:AS$195,3),3,4)))</f>
        <v>1</v>
      </c>
      <c r="AT26" s="3">
        <f>IF(Data!AT26&lt;=QUARTILE(Data!AT$4:AT$195,1),1,IF(Data!AT26&lt;=MEDIAN(Data!AT$4:AT$195),2,IF(Data!AT26&lt;=QUARTILE(Data!AT$4:AT$195,3),3,4)))</f>
        <v>3</v>
      </c>
      <c r="AU26" s="5">
        <f>IF(Data!AU26&lt;=QUARTILE(Data!AU$4:AU$195,1),1,IF(Data!AU26&lt;=MEDIAN(Data!AU$4:AU$195),2,IF(Data!AU26&lt;=QUARTILE(Data!AU$4:AU$195,3),3,4)))</f>
        <v>3</v>
      </c>
      <c r="AV26" s="4">
        <f>IF(Data!AV26&lt;=QUARTILE(Data!AV$4:AV$195,1),1,IF(Data!AV26&lt;=MEDIAN(Data!AV$4:AV$195),2,IF(Data!AV26&lt;=QUARTILE(Data!AV$4:AV$195,3),3,4)))</f>
        <v>4</v>
      </c>
      <c r="AW26" s="3">
        <f>IF(Data!AW26&lt;=QUARTILE(Data!AW$4:AW$195,1),1,IF(Data!AW26&lt;=MEDIAN(Data!AW$4:AW$195),2,IF(Data!AW26&lt;=QUARTILE(Data!AW$4:AW$195,3),3,4)))</f>
        <v>4</v>
      </c>
      <c r="AX26" s="3">
        <f>IF(Data!AX26&lt;=QUARTILE(Data!AX$4:AX$195,1),1,IF(Data!AX26&lt;=MEDIAN(Data!AX$4:AX$195),2,IF(Data!AX26&lt;=QUARTILE(Data!AX$4:AX$195,3),3,4)))</f>
        <v>4</v>
      </c>
      <c r="AY26" s="3">
        <f>IF(Data!AY26&lt;=QUARTILE(Data!AY$4:AY$195,1),1,IF(Data!AY26&lt;=MEDIAN(Data!AY$4:AY$195),2,IF(Data!AY26&lt;=QUARTILE(Data!AY$4:AY$195,3),3,4)))</f>
        <v>4</v>
      </c>
      <c r="AZ26" s="4">
        <f>IF(Data!AZ26&lt;=QUARTILE(Data!AZ$4:AZ$195,1),1,IF(Data!AZ26&lt;=MEDIAN(Data!AZ$4:AZ$195),2,IF(Data!AZ26&lt;=QUARTILE(Data!AZ$4:AZ$195,3),3,4)))</f>
        <v>1</v>
      </c>
      <c r="BA26" s="5">
        <f>IF(Data!BA26&lt;=QUARTILE(Data!BA$4:BA$195,1),1,IF(Data!BA26&lt;=MEDIAN(Data!BA$4:BA$195),2,IF(Data!BA26&lt;=QUARTILE(Data!BA$4:BA$195,3),3,4)))</f>
        <v>3</v>
      </c>
    </row>
    <row r="27" spans="1:53" x14ac:dyDescent="0.25">
      <c r="A27" s="4" t="s">
        <v>20</v>
      </c>
      <c r="B27" s="40">
        <v>2009</v>
      </c>
      <c r="C27" s="4">
        <v>11</v>
      </c>
      <c r="D27" s="3">
        <v>5</v>
      </c>
      <c r="E27" s="71" t="s">
        <v>97</v>
      </c>
      <c r="F27" s="3">
        <v>6</v>
      </c>
      <c r="G27" s="3">
        <v>5.8</v>
      </c>
      <c r="H27" s="5">
        <v>0.2</v>
      </c>
      <c r="I27" s="4">
        <f>IF(Data!I27&lt;=QUARTILE(Data!I$4:I$195,1),1,IF(Data!I27&lt;=MEDIAN(Data!I$4:I$195),2,IF(Data!I27&lt;=QUARTILE(Data!I$4:I$195,3),3,4)))</f>
        <v>4</v>
      </c>
      <c r="J27" s="3">
        <f>IF(Data!J27&lt;=QUARTILE(Data!J$4:J$195,1),1,IF(Data!J27&lt;=MEDIAN(Data!J$4:J$195),2,IF(Data!J27&lt;=QUARTILE(Data!J$4:J$195,3),3,4)))</f>
        <v>4</v>
      </c>
      <c r="K27" s="3">
        <f>IF(Data!K27&lt;=QUARTILE(Data!K$4:K$195,1),1,IF(Data!K27&lt;=MEDIAN(Data!K$4:K$195),2,IF(Data!K27&lt;=QUARTILE(Data!K$4:K$195,3),3,4)))</f>
        <v>2</v>
      </c>
      <c r="L27" s="5">
        <f>IF(Data!L27&lt;=QUARTILE(Data!L$4:L$195,1),1,IF(Data!L27&lt;=MEDIAN(Data!L$4:L$195),2,IF(Data!L27&lt;=QUARTILE(Data!L$4:L$195,3),3,4)))</f>
        <v>2</v>
      </c>
      <c r="M27" s="4">
        <f>IF(Data!M27&lt;=QUARTILE(Data!M$4:M$195,1),1,IF(Data!M27&lt;=MEDIAN(Data!M$4:M$195),2,IF(Data!M27&lt;=QUARTILE(Data!M$4:M$195,3),3,4)))</f>
        <v>3</v>
      </c>
      <c r="N27" s="3">
        <f>IF(Data!N27&lt;=QUARTILE(Data!N$4:N$195,1),1,IF(Data!N27&lt;=MEDIAN(Data!N$4:N$195),2,IF(Data!N27&lt;=QUARTILE(Data!N$4:N$195,3),3,4)))</f>
        <v>3</v>
      </c>
      <c r="O27" s="3">
        <f>IF(Data!O27&lt;=QUARTILE(Data!O$4:O$195,1),1,IF(Data!O27&lt;=MEDIAN(Data!O$4:O$195),2,IF(Data!O27&lt;=QUARTILE(Data!O$4:O$195,3),3,4)))</f>
        <v>4</v>
      </c>
      <c r="P27" s="3">
        <f>IF(Data!P27&lt;=QUARTILE(Data!P$4:P$195,1),1,IF(Data!P27&lt;=MEDIAN(Data!P$4:P$195),2,IF(Data!P27&lt;=QUARTILE(Data!P$4:P$195,3),3,4)))</f>
        <v>4</v>
      </c>
      <c r="Q27" s="3">
        <f>IF(Data!Q27&lt;=QUARTILE(Data!Q$4:Q$195,1),1,IF(Data!Q27&lt;=MEDIAN(Data!Q$4:Q$195),2,IF(Data!Q27&lt;=QUARTILE(Data!Q$4:Q$195,3),3,4)))</f>
        <v>3</v>
      </c>
      <c r="R27" s="3">
        <f>IF(Data!R27&lt;=QUARTILE(Data!R$4:R$195,1),1,IF(Data!R27&lt;=MEDIAN(Data!R$4:R$195),2,IF(Data!R27&lt;=QUARTILE(Data!R$4:R$195,3),3,4)))</f>
        <v>4</v>
      </c>
      <c r="S27" s="3">
        <f>IF(Data!S27&lt;=QUARTILE(Data!S$4:S$195,1),1,IF(Data!S27&lt;=MEDIAN(Data!S$4:S$195),2,IF(Data!S27&lt;=QUARTILE(Data!S$4:S$195,3),3,4)))</f>
        <v>3</v>
      </c>
      <c r="T27" s="5">
        <f>IF(Data!T27&lt;=QUARTILE(Data!T$4:T$195,1),1,IF(Data!T27&lt;=MEDIAN(Data!T$4:T$195),2,IF(Data!T27&lt;=QUARTILE(Data!T$4:T$195,3),3,4)))</f>
        <v>4</v>
      </c>
      <c r="U27" s="4">
        <f>IF(Data!U27&lt;=QUARTILE(Data!U$4:U$195,1),1,IF(Data!U27&lt;=MEDIAN(Data!U$4:U$195),2,IF(Data!U27&lt;=QUARTILE(Data!U$4:U$195,3),3,4)))</f>
        <v>1</v>
      </c>
      <c r="V27" s="3">
        <f>IF(Data!V27&lt;=QUARTILE(Data!V$4:V$195,1),1,IF(Data!V27&lt;=MEDIAN(Data!V$4:V$195),2,IF(Data!V27&lt;=QUARTILE(Data!V$4:V$195,3),3,4)))</f>
        <v>2</v>
      </c>
      <c r="W27" s="3">
        <f>IF(Data!W27&lt;=QUARTILE(Data!W$4:W$195,1),1,IF(Data!W27&lt;=MEDIAN(Data!W$4:W$195),2,IF(Data!W27&lt;=QUARTILE(Data!W$4:W$195,3),3,4)))</f>
        <v>3</v>
      </c>
      <c r="X27" s="3">
        <f>IF(Data!X27&lt;=QUARTILE(Data!X$4:X$195,1),1,IF(Data!X27&lt;=MEDIAN(Data!X$4:X$195),2,IF(Data!X27&lt;=QUARTILE(Data!X$4:X$195,3),3,4)))</f>
        <v>2</v>
      </c>
      <c r="Y27" s="4">
        <f>IF(Data!Y27&lt;=QUARTILE(Data!Y$4:Y$195,1),1,IF(Data!Y27&lt;=MEDIAN(Data!Y$4:Y$195),2,IF(Data!Y27&lt;=QUARTILE(Data!Y$4:Y$195,3),3,4)))</f>
        <v>1</v>
      </c>
      <c r="Z27" s="5">
        <f>IF(Data!Z27&lt;=QUARTILE(Data!Z$4:Z$195,1),1,IF(Data!Z27&lt;=MEDIAN(Data!Z$4:Z$195),2,IF(Data!Z27&lt;=QUARTILE(Data!Z$4:Z$195,3),3,4)))</f>
        <v>1</v>
      </c>
      <c r="AA27" s="4">
        <f>IF(Data!AA27&lt;=QUARTILE(Data!AA$4:AA$195,1),1,IF(Data!AA27&lt;=MEDIAN(Data!AA$4:AA$195),2,IF(Data!AA27&lt;=QUARTILE(Data!AA$4:AA$195,3),3,4)))</f>
        <v>2</v>
      </c>
      <c r="AB27" s="5">
        <f>IF(Data!AB27&lt;=QUARTILE(Data!AB$4:AB$195,1),1,IF(Data!AB27&lt;=MEDIAN(Data!AB$4:AB$195),2,IF(Data!AB27&lt;=QUARTILE(Data!AB$4:AB$195,3),3,4)))</f>
        <v>4</v>
      </c>
      <c r="AC27" s="4">
        <f>IF(Data!AC27&lt;=QUARTILE(Data!AC$4:AC$195,1),1,IF(Data!AC27&lt;=MEDIAN(Data!AC$4:AC$195),2,IF(Data!AC27&lt;=QUARTILE(Data!AC$4:AC$195,3),3,4)))</f>
        <v>1</v>
      </c>
      <c r="AD27" s="5">
        <f>IF(Data!AD27&lt;=QUARTILE(Data!AD$4:AD$195,1),1,IF(Data!AD27&lt;=MEDIAN(Data!AD$4:AD$195),2,IF(Data!AD27&lt;=QUARTILE(Data!AD$4:AD$195,3),3,4)))</f>
        <v>1</v>
      </c>
      <c r="AE27" s="4">
        <f>IF(Data!AE27&lt;=QUARTILE(Data!AE$4:AE$195,1),1,IF(Data!AE27&lt;=MEDIAN(Data!AE$4:AE$195),2,IF(Data!AE27&lt;=QUARTILE(Data!AE$4:AE$195,3),3,4)))</f>
        <v>4</v>
      </c>
      <c r="AF27" s="3">
        <f>IF(Data!AF27&lt;=QUARTILE(Data!AF$4:AF$195,1),1,IF(Data!AF27&lt;=MEDIAN(Data!AF$4:AF$195),2,IF(Data!AF27&lt;=QUARTILE(Data!AF$4:AF$195,3),3,4)))</f>
        <v>4</v>
      </c>
      <c r="AG27" s="3">
        <f>IF(Data!AG27&lt;=QUARTILE(Data!AG$4:AG$195,1),1,IF(Data!AG27&lt;=MEDIAN(Data!AG$4:AG$195),2,IF(Data!AG27&lt;=QUARTILE(Data!AG$4:AG$195,3),3,4)))</f>
        <v>4</v>
      </c>
      <c r="AH27" s="3">
        <f>IF(Data!AH27&lt;=QUARTILE(Data!AH$4:AH$195,1),1,IF(Data!AH27&lt;=MEDIAN(Data!AH$4:AH$195),2,IF(Data!AH27&lt;=QUARTILE(Data!AH$4:AH$195,3),3,4)))</f>
        <v>4</v>
      </c>
      <c r="AI27" s="4">
        <f>IF(Data!AI27&lt;=QUARTILE(Data!AI$4:AI$195,1),1,IF(Data!AI27&lt;=MEDIAN(Data!AI$4:AI$195),2,IF(Data!AI27&lt;=QUARTILE(Data!AI$4:AI$195,3),3,4)))</f>
        <v>2</v>
      </c>
      <c r="AJ27" s="5">
        <f>IF(Data!AJ27&lt;=QUARTILE(Data!AJ$4:AJ$195,1),1,IF(Data!AJ27&lt;=MEDIAN(Data!AJ$4:AJ$195),2,IF(Data!AJ27&lt;=QUARTILE(Data!AJ$4:AJ$195,3),3,4)))</f>
        <v>1</v>
      </c>
      <c r="AK27" s="4">
        <f>IF(Data!AK27&lt;=QUARTILE(Data!AK$4:AK$195,1),1,IF(Data!AK27&lt;=MEDIAN(Data!AK$4:AK$195),2,IF(Data!AK27&lt;=QUARTILE(Data!AK$4:AK$195,3),3,4)))</f>
        <v>2</v>
      </c>
      <c r="AL27" s="3">
        <f>IF(Data!AL27&lt;=QUARTILE(Data!AL$4:AL$195,1),1,IF(Data!AL27&lt;=MEDIAN(Data!AL$4:AL$195),2,IF(Data!AL27&lt;=QUARTILE(Data!AL$4:AL$195,3),3,4)))</f>
        <v>2</v>
      </c>
      <c r="AM27" s="3">
        <f>IF(Data!AM27&lt;=QUARTILE(Data!AM$4:AM$195,1),1,IF(Data!AM27&lt;=MEDIAN(Data!AM$4:AM$195),2,IF(Data!AM27&lt;=QUARTILE(Data!AM$4:AM$195,3),3,4)))</f>
        <v>4</v>
      </c>
      <c r="AN27" s="5">
        <f>IF(Data!AN27&lt;=QUARTILE(Data!AN$4:AN$195,1),1,IF(Data!AN27&lt;=MEDIAN(Data!AN$4:AN$195),2,IF(Data!AN27&lt;=QUARTILE(Data!AN$4:AN$195,3),3,4)))</f>
        <v>2</v>
      </c>
      <c r="AO27" s="4">
        <f>IF(Data!AO27&lt;=QUARTILE(Data!AO$4:AO$195,1),1,IF(Data!AO27&lt;=MEDIAN(Data!AO$4:AO$195),2,IF(Data!AO27&lt;=QUARTILE(Data!AO$4:AO$195,3),3,4)))</f>
        <v>4</v>
      </c>
      <c r="AP27" s="3">
        <f>IF(Data!AP27&lt;=QUARTILE(Data!AP$4:AP$195,1),1,IF(Data!AP27&lt;=MEDIAN(Data!AP$4:AP$195),2,IF(Data!AP27&lt;=QUARTILE(Data!AP$4:AP$195,3),3,4)))</f>
        <v>4</v>
      </c>
      <c r="AQ27" s="3">
        <f>IF(Data!AQ27&lt;=QUARTILE(Data!AQ$4:AQ$195,1),1,IF(Data!AQ27&lt;=MEDIAN(Data!AQ$4:AQ$195),2,IF(Data!AQ27&lt;=QUARTILE(Data!AQ$4:AQ$195,3),3,4)))</f>
        <v>3</v>
      </c>
      <c r="AR27" s="3">
        <f>IF(Data!AR27&lt;=QUARTILE(Data!AR$4:AR$195,1),1,IF(Data!AR27&lt;=MEDIAN(Data!AR$4:AR$195),2,IF(Data!AR27&lt;=QUARTILE(Data!AR$4:AR$195,3),3,4)))</f>
        <v>4</v>
      </c>
      <c r="AS27" s="3">
        <f>IF(Data!AS27&lt;=QUARTILE(Data!AS$4:AS$195,1),1,IF(Data!AS27&lt;=MEDIAN(Data!AS$4:AS$195),2,IF(Data!AS27&lt;=QUARTILE(Data!AS$4:AS$195,3),3,4)))</f>
        <v>3</v>
      </c>
      <c r="AT27" s="3">
        <f>IF(Data!AT27&lt;=QUARTILE(Data!AT$4:AT$195,1),1,IF(Data!AT27&lt;=MEDIAN(Data!AT$4:AT$195),2,IF(Data!AT27&lt;=QUARTILE(Data!AT$4:AT$195,3),3,4)))</f>
        <v>4</v>
      </c>
      <c r="AU27" s="5">
        <f>IF(Data!AU27&lt;=QUARTILE(Data!AU$4:AU$195,1),1,IF(Data!AU27&lt;=MEDIAN(Data!AU$4:AU$195),2,IF(Data!AU27&lt;=QUARTILE(Data!AU$4:AU$195,3),3,4)))</f>
        <v>4</v>
      </c>
      <c r="AV27" s="4">
        <f>IF(Data!AV27&lt;=QUARTILE(Data!AV$4:AV$195,1),1,IF(Data!AV27&lt;=MEDIAN(Data!AV$4:AV$195),2,IF(Data!AV27&lt;=QUARTILE(Data!AV$4:AV$195,3),3,4)))</f>
        <v>2</v>
      </c>
      <c r="AW27" s="3">
        <f>IF(Data!AW27&lt;=QUARTILE(Data!AW$4:AW$195,1),1,IF(Data!AW27&lt;=MEDIAN(Data!AW$4:AW$195),2,IF(Data!AW27&lt;=QUARTILE(Data!AW$4:AW$195,3),3,4)))</f>
        <v>2</v>
      </c>
      <c r="AX27" s="3">
        <f>IF(Data!AX27&lt;=QUARTILE(Data!AX$4:AX$195,1),1,IF(Data!AX27&lt;=MEDIAN(Data!AX$4:AX$195),2,IF(Data!AX27&lt;=QUARTILE(Data!AX$4:AX$195,3),3,4)))</f>
        <v>2</v>
      </c>
      <c r="AY27" s="3">
        <f>IF(Data!AY27&lt;=QUARTILE(Data!AY$4:AY$195,1),1,IF(Data!AY27&lt;=MEDIAN(Data!AY$4:AY$195),2,IF(Data!AY27&lt;=QUARTILE(Data!AY$4:AY$195,3),3,4)))</f>
        <v>1</v>
      </c>
      <c r="AZ27" s="4">
        <f>IF(Data!AZ27&lt;=QUARTILE(Data!AZ$4:AZ$195,1),1,IF(Data!AZ27&lt;=MEDIAN(Data!AZ$4:AZ$195),2,IF(Data!AZ27&lt;=QUARTILE(Data!AZ$4:AZ$195,3),3,4)))</f>
        <v>4</v>
      </c>
      <c r="BA27" s="5">
        <f>IF(Data!BA27&lt;=QUARTILE(Data!BA$4:BA$195,1),1,IF(Data!BA27&lt;=MEDIAN(Data!BA$4:BA$195),2,IF(Data!BA27&lt;=QUARTILE(Data!BA$4:BA$195,3),3,4)))</f>
        <v>3</v>
      </c>
    </row>
    <row r="28" spans="1:53" x14ac:dyDescent="0.25">
      <c r="A28" s="4" t="s">
        <v>9</v>
      </c>
      <c r="B28" s="40">
        <v>2009</v>
      </c>
      <c r="C28" s="4">
        <v>9</v>
      </c>
      <c r="D28" s="3">
        <v>7</v>
      </c>
      <c r="E28" s="71" t="s">
        <v>96</v>
      </c>
      <c r="F28" s="3">
        <v>1.7</v>
      </c>
      <c r="G28" s="3">
        <v>1</v>
      </c>
      <c r="H28" s="5">
        <v>0.7</v>
      </c>
      <c r="I28" s="4">
        <f>IF(Data!I28&lt;=QUARTILE(Data!I$4:I$195,1),1,IF(Data!I28&lt;=MEDIAN(Data!I$4:I$195),2,IF(Data!I28&lt;=QUARTILE(Data!I$4:I$195,3),3,4)))</f>
        <v>3</v>
      </c>
      <c r="J28" s="3">
        <f>IF(Data!J28&lt;=QUARTILE(Data!J$4:J$195,1),1,IF(Data!J28&lt;=MEDIAN(Data!J$4:J$195),2,IF(Data!J28&lt;=QUARTILE(Data!J$4:J$195,3),3,4)))</f>
        <v>4</v>
      </c>
      <c r="K28" s="3">
        <f>IF(Data!K28&lt;=QUARTILE(Data!K$4:K$195,1),1,IF(Data!K28&lt;=MEDIAN(Data!K$4:K$195),2,IF(Data!K28&lt;=QUARTILE(Data!K$4:K$195,3),3,4)))</f>
        <v>3</v>
      </c>
      <c r="L28" s="5">
        <f>IF(Data!L28&lt;=QUARTILE(Data!L$4:L$195,1),1,IF(Data!L28&lt;=MEDIAN(Data!L$4:L$195),2,IF(Data!L28&lt;=QUARTILE(Data!L$4:L$195,3),3,4)))</f>
        <v>4</v>
      </c>
      <c r="M28" s="4">
        <f>IF(Data!M28&lt;=QUARTILE(Data!M$4:M$195,1),1,IF(Data!M28&lt;=MEDIAN(Data!M$4:M$195),2,IF(Data!M28&lt;=QUARTILE(Data!M$4:M$195,3),3,4)))</f>
        <v>4</v>
      </c>
      <c r="N28" s="3">
        <f>IF(Data!N28&lt;=QUARTILE(Data!N$4:N$195,1),1,IF(Data!N28&lt;=MEDIAN(Data!N$4:N$195),2,IF(Data!N28&lt;=QUARTILE(Data!N$4:N$195,3),3,4)))</f>
        <v>3</v>
      </c>
      <c r="O28" s="3">
        <f>IF(Data!O28&lt;=QUARTILE(Data!O$4:O$195,1),1,IF(Data!O28&lt;=MEDIAN(Data!O$4:O$195),2,IF(Data!O28&lt;=QUARTILE(Data!O$4:O$195,3),3,4)))</f>
        <v>4</v>
      </c>
      <c r="P28" s="3">
        <f>IF(Data!P28&lt;=QUARTILE(Data!P$4:P$195,1),1,IF(Data!P28&lt;=MEDIAN(Data!P$4:P$195),2,IF(Data!P28&lt;=QUARTILE(Data!P$4:P$195,3),3,4)))</f>
        <v>4</v>
      </c>
      <c r="Q28" s="3">
        <f>IF(Data!Q28&lt;=QUARTILE(Data!Q$4:Q$195,1),1,IF(Data!Q28&lt;=MEDIAN(Data!Q$4:Q$195),2,IF(Data!Q28&lt;=QUARTILE(Data!Q$4:Q$195,3),3,4)))</f>
        <v>4</v>
      </c>
      <c r="R28" s="3">
        <f>IF(Data!R28&lt;=QUARTILE(Data!R$4:R$195,1),1,IF(Data!R28&lt;=MEDIAN(Data!R$4:R$195),2,IF(Data!R28&lt;=QUARTILE(Data!R$4:R$195,3),3,4)))</f>
        <v>4</v>
      </c>
      <c r="S28" s="3">
        <f>IF(Data!S28&lt;=QUARTILE(Data!S$4:S$195,1),1,IF(Data!S28&lt;=MEDIAN(Data!S$4:S$195),2,IF(Data!S28&lt;=QUARTILE(Data!S$4:S$195,3),3,4)))</f>
        <v>4</v>
      </c>
      <c r="T28" s="5">
        <f>IF(Data!T28&lt;=QUARTILE(Data!T$4:T$195,1),1,IF(Data!T28&lt;=MEDIAN(Data!T$4:T$195),2,IF(Data!T28&lt;=QUARTILE(Data!T$4:T$195,3),3,4)))</f>
        <v>4</v>
      </c>
      <c r="U28" s="4">
        <f>IF(Data!U28&lt;=QUARTILE(Data!U$4:U$195,1),1,IF(Data!U28&lt;=MEDIAN(Data!U$4:U$195),2,IF(Data!U28&lt;=QUARTILE(Data!U$4:U$195,3),3,4)))</f>
        <v>2</v>
      </c>
      <c r="V28" s="3">
        <f>IF(Data!V28&lt;=QUARTILE(Data!V$4:V$195,1),1,IF(Data!V28&lt;=MEDIAN(Data!V$4:V$195),2,IF(Data!V28&lt;=QUARTILE(Data!V$4:V$195,3),3,4)))</f>
        <v>2</v>
      </c>
      <c r="W28" s="3">
        <f>IF(Data!W28&lt;=QUARTILE(Data!W$4:W$195,1),1,IF(Data!W28&lt;=MEDIAN(Data!W$4:W$195),2,IF(Data!W28&lt;=QUARTILE(Data!W$4:W$195,3),3,4)))</f>
        <v>2</v>
      </c>
      <c r="X28" s="3">
        <f>IF(Data!X28&lt;=QUARTILE(Data!X$4:X$195,1),1,IF(Data!X28&lt;=MEDIAN(Data!X$4:X$195),2,IF(Data!X28&lt;=QUARTILE(Data!X$4:X$195,3),3,4)))</f>
        <v>2</v>
      </c>
      <c r="Y28" s="4">
        <f>IF(Data!Y28&lt;=QUARTILE(Data!Y$4:Y$195,1),1,IF(Data!Y28&lt;=MEDIAN(Data!Y$4:Y$195),2,IF(Data!Y28&lt;=QUARTILE(Data!Y$4:Y$195,3),3,4)))</f>
        <v>2</v>
      </c>
      <c r="Z28" s="5">
        <f>IF(Data!Z28&lt;=QUARTILE(Data!Z$4:Z$195,1),1,IF(Data!Z28&lt;=MEDIAN(Data!Z$4:Z$195),2,IF(Data!Z28&lt;=QUARTILE(Data!Z$4:Z$195,3),3,4)))</f>
        <v>2</v>
      </c>
      <c r="AA28" s="4">
        <f>IF(Data!AA28&lt;=QUARTILE(Data!AA$4:AA$195,1),1,IF(Data!AA28&lt;=MEDIAN(Data!AA$4:AA$195),2,IF(Data!AA28&lt;=QUARTILE(Data!AA$4:AA$195,3),3,4)))</f>
        <v>2</v>
      </c>
      <c r="AB28" s="5">
        <f>IF(Data!AB28&lt;=QUARTILE(Data!AB$4:AB$195,1),1,IF(Data!AB28&lt;=MEDIAN(Data!AB$4:AB$195),2,IF(Data!AB28&lt;=QUARTILE(Data!AB$4:AB$195,3),3,4)))</f>
        <v>2</v>
      </c>
      <c r="AC28" s="4">
        <f>IF(Data!AC28&lt;=QUARTILE(Data!AC$4:AC$195,1),1,IF(Data!AC28&lt;=MEDIAN(Data!AC$4:AC$195),2,IF(Data!AC28&lt;=QUARTILE(Data!AC$4:AC$195,3),3,4)))</f>
        <v>3</v>
      </c>
      <c r="AD28" s="5">
        <f>IF(Data!AD28&lt;=QUARTILE(Data!AD$4:AD$195,1),1,IF(Data!AD28&lt;=MEDIAN(Data!AD$4:AD$195),2,IF(Data!AD28&lt;=QUARTILE(Data!AD$4:AD$195,3),3,4)))</f>
        <v>3</v>
      </c>
      <c r="AE28" s="4">
        <f>IF(Data!AE28&lt;=QUARTILE(Data!AE$4:AE$195,1),1,IF(Data!AE28&lt;=MEDIAN(Data!AE$4:AE$195),2,IF(Data!AE28&lt;=QUARTILE(Data!AE$4:AE$195,3),3,4)))</f>
        <v>4</v>
      </c>
      <c r="AF28" s="3">
        <f>IF(Data!AF28&lt;=QUARTILE(Data!AF$4:AF$195,1),1,IF(Data!AF28&lt;=MEDIAN(Data!AF$4:AF$195),2,IF(Data!AF28&lt;=QUARTILE(Data!AF$4:AF$195,3),3,4)))</f>
        <v>4</v>
      </c>
      <c r="AG28" s="3">
        <f>IF(Data!AG28&lt;=QUARTILE(Data!AG$4:AG$195,1),1,IF(Data!AG28&lt;=MEDIAN(Data!AG$4:AG$195),2,IF(Data!AG28&lt;=QUARTILE(Data!AG$4:AG$195,3),3,4)))</f>
        <v>1</v>
      </c>
      <c r="AH28" s="3">
        <f>IF(Data!AH28&lt;=QUARTILE(Data!AH$4:AH$195,1),1,IF(Data!AH28&lt;=MEDIAN(Data!AH$4:AH$195),2,IF(Data!AH28&lt;=QUARTILE(Data!AH$4:AH$195,3),3,4)))</f>
        <v>1</v>
      </c>
      <c r="AI28" s="4">
        <f>IF(Data!AI28&lt;=QUARTILE(Data!AI$4:AI$195,1),1,IF(Data!AI28&lt;=MEDIAN(Data!AI$4:AI$195),2,IF(Data!AI28&lt;=QUARTILE(Data!AI$4:AI$195,3),3,4)))</f>
        <v>2</v>
      </c>
      <c r="AJ28" s="5">
        <f>IF(Data!AJ28&lt;=QUARTILE(Data!AJ$4:AJ$195,1),1,IF(Data!AJ28&lt;=MEDIAN(Data!AJ$4:AJ$195),2,IF(Data!AJ28&lt;=QUARTILE(Data!AJ$4:AJ$195,3),3,4)))</f>
        <v>1</v>
      </c>
      <c r="AK28" s="4">
        <f>IF(Data!AK28&lt;=QUARTILE(Data!AK$4:AK$195,1),1,IF(Data!AK28&lt;=MEDIAN(Data!AK$4:AK$195),2,IF(Data!AK28&lt;=QUARTILE(Data!AK$4:AK$195,3),3,4)))</f>
        <v>2</v>
      </c>
      <c r="AL28" s="3">
        <f>IF(Data!AL28&lt;=QUARTILE(Data!AL$4:AL$195,1),1,IF(Data!AL28&lt;=MEDIAN(Data!AL$4:AL$195),2,IF(Data!AL28&lt;=QUARTILE(Data!AL$4:AL$195,3),3,4)))</f>
        <v>1</v>
      </c>
      <c r="AM28" s="3">
        <f>IF(Data!AM28&lt;=QUARTILE(Data!AM$4:AM$195,1),1,IF(Data!AM28&lt;=MEDIAN(Data!AM$4:AM$195),2,IF(Data!AM28&lt;=QUARTILE(Data!AM$4:AM$195,3),3,4)))</f>
        <v>1</v>
      </c>
      <c r="AN28" s="5">
        <f>IF(Data!AN28&lt;=QUARTILE(Data!AN$4:AN$195,1),1,IF(Data!AN28&lt;=MEDIAN(Data!AN$4:AN$195),2,IF(Data!AN28&lt;=QUARTILE(Data!AN$4:AN$195,3),3,4)))</f>
        <v>1</v>
      </c>
      <c r="AO28" s="4">
        <f>IF(Data!AO28&lt;=QUARTILE(Data!AO$4:AO$195,1),1,IF(Data!AO28&lt;=MEDIAN(Data!AO$4:AO$195),2,IF(Data!AO28&lt;=QUARTILE(Data!AO$4:AO$195,3),3,4)))</f>
        <v>3</v>
      </c>
      <c r="AP28" s="3">
        <f>IF(Data!AP28&lt;=QUARTILE(Data!AP$4:AP$195,1),1,IF(Data!AP28&lt;=MEDIAN(Data!AP$4:AP$195),2,IF(Data!AP28&lt;=QUARTILE(Data!AP$4:AP$195,3),3,4)))</f>
        <v>4</v>
      </c>
      <c r="AQ28" s="3">
        <f>IF(Data!AQ28&lt;=QUARTILE(Data!AQ$4:AQ$195,1),1,IF(Data!AQ28&lt;=MEDIAN(Data!AQ$4:AQ$195),2,IF(Data!AQ28&lt;=QUARTILE(Data!AQ$4:AQ$195,3),3,4)))</f>
        <v>3</v>
      </c>
      <c r="AR28" s="3">
        <f>IF(Data!AR28&lt;=QUARTILE(Data!AR$4:AR$195,1),1,IF(Data!AR28&lt;=MEDIAN(Data!AR$4:AR$195),2,IF(Data!AR28&lt;=QUARTILE(Data!AR$4:AR$195,3),3,4)))</f>
        <v>3</v>
      </c>
      <c r="AS28" s="3">
        <f>IF(Data!AS28&lt;=QUARTILE(Data!AS$4:AS$195,1),1,IF(Data!AS28&lt;=MEDIAN(Data!AS$4:AS$195),2,IF(Data!AS28&lt;=QUARTILE(Data!AS$4:AS$195,3),3,4)))</f>
        <v>3</v>
      </c>
      <c r="AT28" s="3">
        <f>IF(Data!AT28&lt;=QUARTILE(Data!AT$4:AT$195,1),1,IF(Data!AT28&lt;=MEDIAN(Data!AT$4:AT$195),2,IF(Data!AT28&lt;=QUARTILE(Data!AT$4:AT$195,3),3,4)))</f>
        <v>4</v>
      </c>
      <c r="AU28" s="5">
        <f>IF(Data!AU28&lt;=QUARTILE(Data!AU$4:AU$195,1),1,IF(Data!AU28&lt;=MEDIAN(Data!AU$4:AU$195),2,IF(Data!AU28&lt;=QUARTILE(Data!AU$4:AU$195,3),3,4)))</f>
        <v>4</v>
      </c>
      <c r="AV28" s="4">
        <f>IF(Data!AV28&lt;=QUARTILE(Data!AV$4:AV$195,1),1,IF(Data!AV28&lt;=MEDIAN(Data!AV$4:AV$195),2,IF(Data!AV28&lt;=QUARTILE(Data!AV$4:AV$195,3),3,4)))</f>
        <v>1</v>
      </c>
      <c r="AW28" s="3">
        <f>IF(Data!AW28&lt;=QUARTILE(Data!AW$4:AW$195,1),1,IF(Data!AW28&lt;=MEDIAN(Data!AW$4:AW$195),2,IF(Data!AW28&lt;=QUARTILE(Data!AW$4:AW$195,3),3,4)))</f>
        <v>1</v>
      </c>
      <c r="AX28" s="3">
        <f>IF(Data!AX28&lt;=QUARTILE(Data!AX$4:AX$195,1),1,IF(Data!AX28&lt;=MEDIAN(Data!AX$4:AX$195),2,IF(Data!AX28&lt;=QUARTILE(Data!AX$4:AX$195,3),3,4)))</f>
        <v>1</v>
      </c>
      <c r="AY28" s="3">
        <f>IF(Data!AY28&lt;=QUARTILE(Data!AY$4:AY$195,1),1,IF(Data!AY28&lt;=MEDIAN(Data!AY$4:AY$195),2,IF(Data!AY28&lt;=QUARTILE(Data!AY$4:AY$195,3),3,4)))</f>
        <v>1</v>
      </c>
      <c r="AZ28" s="4">
        <f>IF(Data!AZ28&lt;=QUARTILE(Data!AZ$4:AZ$195,1),1,IF(Data!AZ28&lt;=MEDIAN(Data!AZ$4:AZ$195),2,IF(Data!AZ28&lt;=QUARTILE(Data!AZ$4:AZ$195,3),3,4)))</f>
        <v>1</v>
      </c>
      <c r="BA28" s="5">
        <f>IF(Data!BA28&lt;=QUARTILE(Data!BA$4:BA$195,1),1,IF(Data!BA28&lt;=MEDIAN(Data!BA$4:BA$195),2,IF(Data!BA28&lt;=QUARTILE(Data!BA$4:BA$195,3),3,4)))</f>
        <v>2</v>
      </c>
    </row>
    <row r="29" spans="1:53" x14ac:dyDescent="0.25">
      <c r="A29" s="4" t="s">
        <v>15</v>
      </c>
      <c r="B29" s="40">
        <v>2009</v>
      </c>
      <c r="C29" s="4">
        <v>13</v>
      </c>
      <c r="D29" s="3">
        <v>3</v>
      </c>
      <c r="E29" s="71" t="s">
        <v>97</v>
      </c>
      <c r="F29" s="3">
        <v>6.6</v>
      </c>
      <c r="G29" s="3">
        <v>6.4</v>
      </c>
      <c r="H29" s="5">
        <v>0.2</v>
      </c>
      <c r="I29" s="4">
        <f>IF(Data!I29&lt;=QUARTILE(Data!I$4:I$195,1),1,IF(Data!I29&lt;=MEDIAN(Data!I$4:I$195),2,IF(Data!I29&lt;=QUARTILE(Data!I$4:I$195,3),3,4)))</f>
        <v>4</v>
      </c>
      <c r="J29" s="3">
        <f>IF(Data!J29&lt;=QUARTILE(Data!J$4:J$195,1),1,IF(Data!J29&lt;=MEDIAN(Data!J$4:J$195),2,IF(Data!J29&lt;=QUARTILE(Data!J$4:J$195,3),3,4)))</f>
        <v>4</v>
      </c>
      <c r="K29" s="3">
        <f>IF(Data!K29&lt;=QUARTILE(Data!K$4:K$195,1),1,IF(Data!K29&lt;=MEDIAN(Data!K$4:K$195),2,IF(Data!K29&lt;=QUARTILE(Data!K$4:K$195,3),3,4)))</f>
        <v>2</v>
      </c>
      <c r="L29" s="5">
        <f>IF(Data!L29&lt;=QUARTILE(Data!L$4:L$195,1),1,IF(Data!L29&lt;=MEDIAN(Data!L$4:L$195),2,IF(Data!L29&lt;=QUARTILE(Data!L$4:L$195,3),3,4)))</f>
        <v>4</v>
      </c>
      <c r="M29" s="4">
        <f>IF(Data!M29&lt;=QUARTILE(Data!M$4:M$195,1),1,IF(Data!M29&lt;=MEDIAN(Data!M$4:M$195),2,IF(Data!M29&lt;=QUARTILE(Data!M$4:M$195,3),3,4)))</f>
        <v>3</v>
      </c>
      <c r="N29" s="3">
        <f>IF(Data!N29&lt;=QUARTILE(Data!N$4:N$195,1),1,IF(Data!N29&lt;=MEDIAN(Data!N$4:N$195),2,IF(Data!N29&lt;=QUARTILE(Data!N$4:N$195,3),3,4)))</f>
        <v>2</v>
      </c>
      <c r="O29" s="3">
        <f>IF(Data!O29&lt;=QUARTILE(Data!O$4:O$195,1),1,IF(Data!O29&lt;=MEDIAN(Data!O$4:O$195),2,IF(Data!O29&lt;=QUARTILE(Data!O$4:O$195,3),3,4)))</f>
        <v>4</v>
      </c>
      <c r="P29" s="3">
        <f>IF(Data!P29&lt;=QUARTILE(Data!P$4:P$195,1),1,IF(Data!P29&lt;=MEDIAN(Data!P$4:P$195),2,IF(Data!P29&lt;=QUARTILE(Data!P$4:P$195,3),3,4)))</f>
        <v>4</v>
      </c>
      <c r="Q29" s="3">
        <f>IF(Data!Q29&lt;=QUARTILE(Data!Q$4:Q$195,1),1,IF(Data!Q29&lt;=MEDIAN(Data!Q$4:Q$195),2,IF(Data!Q29&lt;=QUARTILE(Data!Q$4:Q$195,3),3,4)))</f>
        <v>4</v>
      </c>
      <c r="R29" s="3">
        <f>IF(Data!R29&lt;=QUARTILE(Data!R$4:R$195,1),1,IF(Data!R29&lt;=MEDIAN(Data!R$4:R$195),2,IF(Data!R29&lt;=QUARTILE(Data!R$4:R$195,3),3,4)))</f>
        <v>4</v>
      </c>
      <c r="S29" s="3">
        <f>IF(Data!S29&lt;=QUARTILE(Data!S$4:S$195,1),1,IF(Data!S29&lt;=MEDIAN(Data!S$4:S$195),2,IF(Data!S29&lt;=QUARTILE(Data!S$4:S$195,3),3,4)))</f>
        <v>1</v>
      </c>
      <c r="T29" s="5">
        <f>IF(Data!T29&lt;=QUARTILE(Data!T$4:T$195,1),1,IF(Data!T29&lt;=MEDIAN(Data!T$4:T$195),2,IF(Data!T29&lt;=QUARTILE(Data!T$4:T$195,3),3,4)))</f>
        <v>1</v>
      </c>
      <c r="U29" s="4">
        <f>IF(Data!U29&lt;=QUARTILE(Data!U$4:U$195,1),1,IF(Data!U29&lt;=MEDIAN(Data!U$4:U$195),2,IF(Data!U29&lt;=QUARTILE(Data!U$4:U$195,3),3,4)))</f>
        <v>2</v>
      </c>
      <c r="V29" s="3">
        <f>IF(Data!V29&lt;=QUARTILE(Data!V$4:V$195,1),1,IF(Data!V29&lt;=MEDIAN(Data!V$4:V$195),2,IF(Data!V29&lt;=QUARTILE(Data!V$4:V$195,3),3,4)))</f>
        <v>1</v>
      </c>
      <c r="W29" s="3">
        <f>IF(Data!W29&lt;=QUARTILE(Data!W$4:W$195,1),1,IF(Data!W29&lt;=MEDIAN(Data!W$4:W$195),2,IF(Data!W29&lt;=QUARTILE(Data!W$4:W$195,3),3,4)))</f>
        <v>3</v>
      </c>
      <c r="X29" s="3">
        <f>IF(Data!X29&lt;=QUARTILE(Data!X$4:X$195,1),1,IF(Data!X29&lt;=MEDIAN(Data!X$4:X$195),2,IF(Data!X29&lt;=QUARTILE(Data!X$4:X$195,3),3,4)))</f>
        <v>1</v>
      </c>
      <c r="Y29" s="4">
        <f>IF(Data!Y29&lt;=QUARTILE(Data!Y$4:Y$195,1),1,IF(Data!Y29&lt;=MEDIAN(Data!Y$4:Y$195),2,IF(Data!Y29&lt;=QUARTILE(Data!Y$4:Y$195,3),3,4)))</f>
        <v>1</v>
      </c>
      <c r="Z29" s="5">
        <f>IF(Data!Z29&lt;=QUARTILE(Data!Z$4:Z$195,1),1,IF(Data!Z29&lt;=MEDIAN(Data!Z$4:Z$195),2,IF(Data!Z29&lt;=QUARTILE(Data!Z$4:Z$195,3),3,4)))</f>
        <v>1</v>
      </c>
      <c r="AA29" s="4">
        <f>IF(Data!AA29&lt;=QUARTILE(Data!AA$4:AA$195,1),1,IF(Data!AA29&lt;=MEDIAN(Data!AA$4:AA$195),2,IF(Data!AA29&lt;=QUARTILE(Data!AA$4:AA$195,3),3,4)))</f>
        <v>1</v>
      </c>
      <c r="AB29" s="5">
        <f>IF(Data!AB29&lt;=QUARTILE(Data!AB$4:AB$195,1),1,IF(Data!AB29&lt;=MEDIAN(Data!AB$4:AB$195),2,IF(Data!AB29&lt;=QUARTILE(Data!AB$4:AB$195,3),3,4)))</f>
        <v>1</v>
      </c>
      <c r="AC29" s="4">
        <f>IF(Data!AC29&lt;=QUARTILE(Data!AC$4:AC$195,1),1,IF(Data!AC29&lt;=MEDIAN(Data!AC$4:AC$195),2,IF(Data!AC29&lt;=QUARTILE(Data!AC$4:AC$195,3),3,4)))</f>
        <v>2</v>
      </c>
      <c r="AD29" s="5">
        <f>IF(Data!AD29&lt;=QUARTILE(Data!AD$4:AD$195,1),1,IF(Data!AD29&lt;=MEDIAN(Data!AD$4:AD$195),2,IF(Data!AD29&lt;=QUARTILE(Data!AD$4:AD$195,3),3,4)))</f>
        <v>2</v>
      </c>
      <c r="AE29" s="4">
        <f>IF(Data!AE29&lt;=QUARTILE(Data!AE$4:AE$195,1),1,IF(Data!AE29&lt;=MEDIAN(Data!AE$4:AE$195),2,IF(Data!AE29&lt;=QUARTILE(Data!AE$4:AE$195,3),3,4)))</f>
        <v>4</v>
      </c>
      <c r="AF29" s="3">
        <f>IF(Data!AF29&lt;=QUARTILE(Data!AF$4:AF$195,1),1,IF(Data!AF29&lt;=MEDIAN(Data!AF$4:AF$195),2,IF(Data!AF29&lt;=QUARTILE(Data!AF$4:AF$195,3),3,4)))</f>
        <v>4</v>
      </c>
      <c r="AG29" s="3">
        <f>IF(Data!AG29&lt;=QUARTILE(Data!AG$4:AG$195,1),1,IF(Data!AG29&lt;=MEDIAN(Data!AG$4:AG$195),2,IF(Data!AG29&lt;=QUARTILE(Data!AG$4:AG$195,3),3,4)))</f>
        <v>3</v>
      </c>
      <c r="AH29" s="3">
        <f>IF(Data!AH29&lt;=QUARTILE(Data!AH$4:AH$195,1),1,IF(Data!AH29&lt;=MEDIAN(Data!AH$4:AH$195),2,IF(Data!AH29&lt;=QUARTILE(Data!AH$4:AH$195,3),3,4)))</f>
        <v>3</v>
      </c>
      <c r="AI29" s="4">
        <f>IF(Data!AI29&lt;=QUARTILE(Data!AI$4:AI$195,1),1,IF(Data!AI29&lt;=MEDIAN(Data!AI$4:AI$195),2,IF(Data!AI29&lt;=QUARTILE(Data!AI$4:AI$195,3),3,4)))</f>
        <v>1</v>
      </c>
      <c r="AJ29" s="5">
        <f>IF(Data!AJ29&lt;=QUARTILE(Data!AJ$4:AJ$195,1),1,IF(Data!AJ29&lt;=MEDIAN(Data!AJ$4:AJ$195),2,IF(Data!AJ29&lt;=QUARTILE(Data!AJ$4:AJ$195,3),3,4)))</f>
        <v>1</v>
      </c>
      <c r="AK29" s="4">
        <f>IF(Data!AK29&lt;=QUARTILE(Data!AK$4:AK$195,1),1,IF(Data!AK29&lt;=MEDIAN(Data!AK$4:AK$195),2,IF(Data!AK29&lt;=QUARTILE(Data!AK$4:AK$195,3),3,4)))</f>
        <v>2</v>
      </c>
      <c r="AL29" s="3">
        <f>IF(Data!AL29&lt;=QUARTILE(Data!AL$4:AL$195,1),1,IF(Data!AL29&lt;=MEDIAN(Data!AL$4:AL$195),2,IF(Data!AL29&lt;=QUARTILE(Data!AL$4:AL$195,3),3,4)))</f>
        <v>3</v>
      </c>
      <c r="AM29" s="3">
        <f>IF(Data!AM29&lt;=QUARTILE(Data!AM$4:AM$195,1),1,IF(Data!AM29&lt;=MEDIAN(Data!AM$4:AM$195),2,IF(Data!AM29&lt;=QUARTILE(Data!AM$4:AM$195,3),3,4)))</f>
        <v>2</v>
      </c>
      <c r="AN29" s="5">
        <f>IF(Data!AN29&lt;=QUARTILE(Data!AN$4:AN$195,1),1,IF(Data!AN29&lt;=MEDIAN(Data!AN$4:AN$195),2,IF(Data!AN29&lt;=QUARTILE(Data!AN$4:AN$195,3),3,4)))</f>
        <v>3</v>
      </c>
      <c r="AO29" s="4">
        <f>IF(Data!AO29&lt;=QUARTILE(Data!AO$4:AO$195,1),1,IF(Data!AO29&lt;=MEDIAN(Data!AO$4:AO$195),2,IF(Data!AO29&lt;=QUARTILE(Data!AO$4:AO$195,3),3,4)))</f>
        <v>3</v>
      </c>
      <c r="AP29" s="3">
        <f>IF(Data!AP29&lt;=QUARTILE(Data!AP$4:AP$195,1),1,IF(Data!AP29&lt;=MEDIAN(Data!AP$4:AP$195),2,IF(Data!AP29&lt;=QUARTILE(Data!AP$4:AP$195,3),3,4)))</f>
        <v>3</v>
      </c>
      <c r="AQ29" s="3">
        <f>IF(Data!AQ29&lt;=QUARTILE(Data!AQ$4:AQ$195,1),1,IF(Data!AQ29&lt;=MEDIAN(Data!AQ$4:AQ$195),2,IF(Data!AQ29&lt;=QUARTILE(Data!AQ$4:AQ$195,3),3,4)))</f>
        <v>2</v>
      </c>
      <c r="AR29" s="3">
        <f>IF(Data!AR29&lt;=QUARTILE(Data!AR$4:AR$195,1),1,IF(Data!AR29&lt;=MEDIAN(Data!AR$4:AR$195),2,IF(Data!AR29&lt;=QUARTILE(Data!AR$4:AR$195,3),3,4)))</f>
        <v>3</v>
      </c>
      <c r="AS29" s="3">
        <f>IF(Data!AS29&lt;=QUARTILE(Data!AS$4:AS$195,1),1,IF(Data!AS29&lt;=MEDIAN(Data!AS$4:AS$195),2,IF(Data!AS29&lt;=QUARTILE(Data!AS$4:AS$195,3),3,4)))</f>
        <v>3</v>
      </c>
      <c r="AT29" s="3">
        <f>IF(Data!AT29&lt;=QUARTILE(Data!AT$4:AT$195,1),1,IF(Data!AT29&lt;=MEDIAN(Data!AT$4:AT$195),2,IF(Data!AT29&lt;=QUARTILE(Data!AT$4:AT$195,3),3,4)))</f>
        <v>2</v>
      </c>
      <c r="AU29" s="5">
        <f>IF(Data!AU29&lt;=QUARTILE(Data!AU$4:AU$195,1),1,IF(Data!AU29&lt;=MEDIAN(Data!AU$4:AU$195),2,IF(Data!AU29&lt;=QUARTILE(Data!AU$4:AU$195,3),3,4)))</f>
        <v>2</v>
      </c>
      <c r="AV29" s="4">
        <f>IF(Data!AV29&lt;=QUARTILE(Data!AV$4:AV$195,1),1,IF(Data!AV29&lt;=MEDIAN(Data!AV$4:AV$195),2,IF(Data!AV29&lt;=QUARTILE(Data!AV$4:AV$195,3),3,4)))</f>
        <v>2</v>
      </c>
      <c r="AW29" s="3">
        <f>IF(Data!AW29&lt;=QUARTILE(Data!AW$4:AW$195,1),1,IF(Data!AW29&lt;=MEDIAN(Data!AW$4:AW$195),2,IF(Data!AW29&lt;=QUARTILE(Data!AW$4:AW$195,3),3,4)))</f>
        <v>3</v>
      </c>
      <c r="AX29" s="3">
        <f>IF(Data!AX29&lt;=QUARTILE(Data!AX$4:AX$195,1),1,IF(Data!AX29&lt;=MEDIAN(Data!AX$4:AX$195),2,IF(Data!AX29&lt;=QUARTILE(Data!AX$4:AX$195,3),3,4)))</f>
        <v>1</v>
      </c>
      <c r="AY29" s="3">
        <f>IF(Data!AY29&lt;=QUARTILE(Data!AY$4:AY$195,1),1,IF(Data!AY29&lt;=MEDIAN(Data!AY$4:AY$195),2,IF(Data!AY29&lt;=QUARTILE(Data!AY$4:AY$195,3),3,4)))</f>
        <v>4</v>
      </c>
      <c r="AZ29" s="4">
        <f>IF(Data!AZ29&lt;=QUARTILE(Data!AZ$4:AZ$195,1),1,IF(Data!AZ29&lt;=MEDIAN(Data!AZ$4:AZ$195),2,IF(Data!AZ29&lt;=QUARTILE(Data!AZ$4:AZ$195,3),3,4)))</f>
        <v>2</v>
      </c>
      <c r="BA29" s="5">
        <f>IF(Data!BA29&lt;=QUARTILE(Data!BA$4:BA$195,1),1,IF(Data!BA29&lt;=MEDIAN(Data!BA$4:BA$195),2,IF(Data!BA29&lt;=QUARTILE(Data!BA$4:BA$195,3),3,4)))</f>
        <v>2</v>
      </c>
    </row>
    <row r="30" spans="1:53" x14ac:dyDescent="0.25">
      <c r="A30" s="4" t="s">
        <v>32</v>
      </c>
      <c r="B30" s="40">
        <v>2009</v>
      </c>
      <c r="C30" s="4">
        <v>8</v>
      </c>
      <c r="D30" s="3">
        <v>8</v>
      </c>
      <c r="E30" s="71" t="s">
        <v>96</v>
      </c>
      <c r="F30" s="3">
        <v>0.1</v>
      </c>
      <c r="G30" s="3">
        <v>-2.9</v>
      </c>
      <c r="H30" s="5">
        <v>3</v>
      </c>
      <c r="I30" s="4">
        <f>IF(Data!I30&lt;=QUARTILE(Data!I$4:I$195,1),1,IF(Data!I30&lt;=MEDIAN(Data!I$4:I$195),2,IF(Data!I30&lt;=QUARTILE(Data!I$4:I$195,3),3,4)))</f>
        <v>2</v>
      </c>
      <c r="J30" s="3">
        <f>IF(Data!J30&lt;=QUARTILE(Data!J$4:J$195,1),1,IF(Data!J30&lt;=MEDIAN(Data!J$4:J$195),2,IF(Data!J30&lt;=QUARTILE(Data!J$4:J$195,3),3,4)))</f>
        <v>1</v>
      </c>
      <c r="K30" s="3">
        <f>IF(Data!K30&lt;=QUARTILE(Data!K$4:K$195,1),1,IF(Data!K30&lt;=MEDIAN(Data!K$4:K$195),2,IF(Data!K30&lt;=QUARTILE(Data!K$4:K$195,3),3,4)))</f>
        <v>1</v>
      </c>
      <c r="L30" s="5">
        <f>IF(Data!L30&lt;=QUARTILE(Data!L$4:L$195,1),1,IF(Data!L30&lt;=MEDIAN(Data!L$4:L$195),2,IF(Data!L30&lt;=QUARTILE(Data!L$4:L$195,3),3,4)))</f>
        <v>1</v>
      </c>
      <c r="M30" s="4">
        <f>IF(Data!M30&lt;=QUARTILE(Data!M$4:M$195,1),1,IF(Data!M30&lt;=MEDIAN(Data!M$4:M$195),2,IF(Data!M30&lt;=QUARTILE(Data!M$4:M$195,3),3,4)))</f>
        <v>2</v>
      </c>
      <c r="N30" s="3">
        <f>IF(Data!N30&lt;=QUARTILE(Data!N$4:N$195,1),1,IF(Data!N30&lt;=MEDIAN(Data!N$4:N$195),2,IF(Data!N30&lt;=QUARTILE(Data!N$4:N$195,3),3,4)))</f>
        <v>3</v>
      </c>
      <c r="O30" s="3">
        <f>IF(Data!O30&lt;=QUARTILE(Data!O$4:O$195,1),1,IF(Data!O30&lt;=MEDIAN(Data!O$4:O$195),2,IF(Data!O30&lt;=QUARTILE(Data!O$4:O$195,3),3,4)))</f>
        <v>2</v>
      </c>
      <c r="P30" s="3">
        <f>IF(Data!P30&lt;=QUARTILE(Data!P$4:P$195,1),1,IF(Data!P30&lt;=MEDIAN(Data!P$4:P$195),2,IF(Data!P30&lt;=QUARTILE(Data!P$4:P$195,3),3,4)))</f>
        <v>3</v>
      </c>
      <c r="Q30" s="3">
        <f>IF(Data!Q30&lt;=QUARTILE(Data!Q$4:Q$195,1),1,IF(Data!Q30&lt;=MEDIAN(Data!Q$4:Q$195),2,IF(Data!Q30&lt;=QUARTILE(Data!Q$4:Q$195,3),3,4)))</f>
        <v>1</v>
      </c>
      <c r="R30" s="3">
        <f>IF(Data!R30&lt;=QUARTILE(Data!R$4:R$195,1),1,IF(Data!R30&lt;=MEDIAN(Data!R$4:R$195),2,IF(Data!R30&lt;=QUARTILE(Data!R$4:R$195,3),3,4)))</f>
        <v>2</v>
      </c>
      <c r="S30" s="3">
        <f>IF(Data!S30&lt;=QUARTILE(Data!S$4:S$195,1),1,IF(Data!S30&lt;=MEDIAN(Data!S$4:S$195),2,IF(Data!S30&lt;=QUARTILE(Data!S$4:S$195,3),3,4)))</f>
        <v>3</v>
      </c>
      <c r="T30" s="5">
        <f>IF(Data!T30&lt;=QUARTILE(Data!T$4:T$195,1),1,IF(Data!T30&lt;=MEDIAN(Data!T$4:T$195),2,IF(Data!T30&lt;=QUARTILE(Data!T$4:T$195,3),3,4)))</f>
        <v>3</v>
      </c>
      <c r="U30" s="4">
        <f>IF(Data!U30&lt;=QUARTILE(Data!U$4:U$195,1),1,IF(Data!U30&lt;=MEDIAN(Data!U$4:U$195),2,IF(Data!U30&lt;=QUARTILE(Data!U$4:U$195,3),3,4)))</f>
        <v>1</v>
      </c>
      <c r="V30" s="3">
        <f>IF(Data!V30&lt;=QUARTILE(Data!V$4:V$195,1),1,IF(Data!V30&lt;=MEDIAN(Data!V$4:V$195),2,IF(Data!V30&lt;=QUARTILE(Data!V$4:V$195,3),3,4)))</f>
        <v>1</v>
      </c>
      <c r="W30" s="3">
        <f>IF(Data!W30&lt;=QUARTILE(Data!W$4:W$195,1),1,IF(Data!W30&lt;=MEDIAN(Data!W$4:W$195),2,IF(Data!W30&lt;=QUARTILE(Data!W$4:W$195,3),3,4)))</f>
        <v>2</v>
      </c>
      <c r="X30" s="3">
        <f>IF(Data!X30&lt;=QUARTILE(Data!X$4:X$195,1),1,IF(Data!X30&lt;=MEDIAN(Data!X$4:X$195),2,IF(Data!X30&lt;=QUARTILE(Data!X$4:X$195,3),3,4)))</f>
        <v>1</v>
      </c>
      <c r="Y30" s="4">
        <f>IF(Data!Y30&lt;=QUARTILE(Data!Y$4:Y$195,1),1,IF(Data!Y30&lt;=MEDIAN(Data!Y$4:Y$195),2,IF(Data!Y30&lt;=QUARTILE(Data!Y$4:Y$195,3),3,4)))</f>
        <v>2</v>
      </c>
      <c r="Z30" s="5">
        <f>IF(Data!Z30&lt;=QUARTILE(Data!Z$4:Z$195,1),1,IF(Data!Z30&lt;=MEDIAN(Data!Z$4:Z$195),2,IF(Data!Z30&lt;=QUARTILE(Data!Z$4:Z$195,3),3,4)))</f>
        <v>1</v>
      </c>
      <c r="AA30" s="4">
        <f>IF(Data!AA30&lt;=QUARTILE(Data!AA$4:AA$195,1),1,IF(Data!AA30&lt;=MEDIAN(Data!AA$4:AA$195),2,IF(Data!AA30&lt;=QUARTILE(Data!AA$4:AA$195,3),3,4)))</f>
        <v>4</v>
      </c>
      <c r="AB30" s="5">
        <f>IF(Data!AB30&lt;=QUARTILE(Data!AB$4:AB$195,1),1,IF(Data!AB30&lt;=MEDIAN(Data!AB$4:AB$195),2,IF(Data!AB30&lt;=QUARTILE(Data!AB$4:AB$195,3),3,4)))</f>
        <v>1</v>
      </c>
      <c r="AC30" s="4">
        <f>IF(Data!AC30&lt;=QUARTILE(Data!AC$4:AC$195,1),1,IF(Data!AC30&lt;=MEDIAN(Data!AC$4:AC$195),2,IF(Data!AC30&lt;=QUARTILE(Data!AC$4:AC$195,3),3,4)))</f>
        <v>1</v>
      </c>
      <c r="AD30" s="5">
        <f>IF(Data!AD30&lt;=QUARTILE(Data!AD$4:AD$195,1),1,IF(Data!AD30&lt;=MEDIAN(Data!AD$4:AD$195),2,IF(Data!AD30&lt;=QUARTILE(Data!AD$4:AD$195,3),3,4)))</f>
        <v>1</v>
      </c>
      <c r="AE30" s="4">
        <f>IF(Data!AE30&lt;=QUARTILE(Data!AE$4:AE$195,1),1,IF(Data!AE30&lt;=MEDIAN(Data!AE$4:AE$195),2,IF(Data!AE30&lt;=QUARTILE(Data!AE$4:AE$195,3),3,4)))</f>
        <v>1</v>
      </c>
      <c r="AF30" s="3">
        <f>IF(Data!AF30&lt;=QUARTILE(Data!AF$4:AF$195,1),1,IF(Data!AF30&lt;=MEDIAN(Data!AF$4:AF$195),2,IF(Data!AF30&lt;=QUARTILE(Data!AF$4:AF$195,3),3,4)))</f>
        <v>1</v>
      </c>
      <c r="AG30" s="3">
        <f>IF(Data!AG30&lt;=QUARTILE(Data!AG$4:AG$195,1),1,IF(Data!AG30&lt;=MEDIAN(Data!AG$4:AG$195),2,IF(Data!AG30&lt;=QUARTILE(Data!AG$4:AG$195,3),3,4)))</f>
        <v>1</v>
      </c>
      <c r="AH30" s="3">
        <f>IF(Data!AH30&lt;=QUARTILE(Data!AH$4:AH$195,1),1,IF(Data!AH30&lt;=MEDIAN(Data!AH$4:AH$195),2,IF(Data!AH30&lt;=QUARTILE(Data!AH$4:AH$195,3),3,4)))</f>
        <v>1</v>
      </c>
      <c r="AI30" s="4">
        <f>IF(Data!AI30&lt;=QUARTILE(Data!AI$4:AI$195,1),1,IF(Data!AI30&lt;=MEDIAN(Data!AI$4:AI$195),2,IF(Data!AI30&lt;=QUARTILE(Data!AI$4:AI$195,3),3,4)))</f>
        <v>4</v>
      </c>
      <c r="AJ30" s="5">
        <f>IF(Data!AJ30&lt;=QUARTILE(Data!AJ$4:AJ$195,1),1,IF(Data!AJ30&lt;=MEDIAN(Data!AJ$4:AJ$195),2,IF(Data!AJ30&lt;=QUARTILE(Data!AJ$4:AJ$195,3),3,4)))</f>
        <v>1</v>
      </c>
      <c r="AK30" s="4">
        <f>IF(Data!AK30&lt;=QUARTILE(Data!AK$4:AK$195,1),1,IF(Data!AK30&lt;=MEDIAN(Data!AK$4:AK$195),2,IF(Data!AK30&lt;=QUARTILE(Data!AK$4:AK$195,3),3,4)))</f>
        <v>1</v>
      </c>
      <c r="AL30" s="3">
        <f>IF(Data!AL30&lt;=QUARTILE(Data!AL$4:AL$195,1),1,IF(Data!AL30&lt;=MEDIAN(Data!AL$4:AL$195),2,IF(Data!AL30&lt;=QUARTILE(Data!AL$4:AL$195,3),3,4)))</f>
        <v>3</v>
      </c>
      <c r="AM30" s="3">
        <f>IF(Data!AM30&lt;=QUARTILE(Data!AM$4:AM$195,1),1,IF(Data!AM30&lt;=MEDIAN(Data!AM$4:AM$195),2,IF(Data!AM30&lt;=QUARTILE(Data!AM$4:AM$195,3),3,4)))</f>
        <v>4</v>
      </c>
      <c r="AN30" s="5">
        <f>IF(Data!AN30&lt;=QUARTILE(Data!AN$4:AN$195,1),1,IF(Data!AN30&lt;=MEDIAN(Data!AN$4:AN$195),2,IF(Data!AN30&lt;=QUARTILE(Data!AN$4:AN$195,3),3,4)))</f>
        <v>1</v>
      </c>
      <c r="AO30" s="4">
        <f>IF(Data!AO30&lt;=QUARTILE(Data!AO$4:AO$195,1),1,IF(Data!AO30&lt;=MEDIAN(Data!AO$4:AO$195),2,IF(Data!AO30&lt;=QUARTILE(Data!AO$4:AO$195,3),3,4)))</f>
        <v>4</v>
      </c>
      <c r="AP30" s="3">
        <f>IF(Data!AP30&lt;=QUARTILE(Data!AP$4:AP$195,1),1,IF(Data!AP30&lt;=MEDIAN(Data!AP$4:AP$195),2,IF(Data!AP30&lt;=QUARTILE(Data!AP$4:AP$195,3),3,4)))</f>
        <v>4</v>
      </c>
      <c r="AQ30" s="3">
        <f>IF(Data!AQ30&lt;=QUARTILE(Data!AQ$4:AQ$195,1),1,IF(Data!AQ30&lt;=MEDIAN(Data!AQ$4:AQ$195),2,IF(Data!AQ30&lt;=QUARTILE(Data!AQ$4:AQ$195,3),3,4)))</f>
        <v>4</v>
      </c>
      <c r="AR30" s="3">
        <f>IF(Data!AR30&lt;=QUARTILE(Data!AR$4:AR$195,1),1,IF(Data!AR30&lt;=MEDIAN(Data!AR$4:AR$195),2,IF(Data!AR30&lt;=QUARTILE(Data!AR$4:AR$195,3),3,4)))</f>
        <v>1</v>
      </c>
      <c r="AS30" s="3">
        <f>IF(Data!AS30&lt;=QUARTILE(Data!AS$4:AS$195,1),1,IF(Data!AS30&lt;=MEDIAN(Data!AS$4:AS$195),2,IF(Data!AS30&lt;=QUARTILE(Data!AS$4:AS$195,3),3,4)))</f>
        <v>3</v>
      </c>
      <c r="AT30" s="3">
        <f>IF(Data!AT30&lt;=QUARTILE(Data!AT$4:AT$195,1),1,IF(Data!AT30&lt;=MEDIAN(Data!AT$4:AT$195),2,IF(Data!AT30&lt;=QUARTILE(Data!AT$4:AT$195,3),3,4)))</f>
        <v>4</v>
      </c>
      <c r="AU30" s="5">
        <f>IF(Data!AU30&lt;=QUARTILE(Data!AU$4:AU$195,1),1,IF(Data!AU30&lt;=MEDIAN(Data!AU$4:AU$195),2,IF(Data!AU30&lt;=QUARTILE(Data!AU$4:AU$195,3),3,4)))</f>
        <v>4</v>
      </c>
      <c r="AV30" s="4">
        <f>IF(Data!AV30&lt;=QUARTILE(Data!AV$4:AV$195,1),1,IF(Data!AV30&lt;=MEDIAN(Data!AV$4:AV$195),2,IF(Data!AV30&lt;=QUARTILE(Data!AV$4:AV$195,3),3,4)))</f>
        <v>2</v>
      </c>
      <c r="AW30" s="3">
        <f>IF(Data!AW30&lt;=QUARTILE(Data!AW$4:AW$195,1),1,IF(Data!AW30&lt;=MEDIAN(Data!AW$4:AW$195),2,IF(Data!AW30&lt;=QUARTILE(Data!AW$4:AW$195,3),3,4)))</f>
        <v>1</v>
      </c>
      <c r="AX30" s="3">
        <f>IF(Data!AX30&lt;=QUARTILE(Data!AX$4:AX$195,1),1,IF(Data!AX30&lt;=MEDIAN(Data!AX$4:AX$195),2,IF(Data!AX30&lt;=QUARTILE(Data!AX$4:AX$195,3),3,4)))</f>
        <v>2</v>
      </c>
      <c r="AY30" s="3">
        <f>IF(Data!AY30&lt;=QUARTILE(Data!AY$4:AY$195,1),1,IF(Data!AY30&lt;=MEDIAN(Data!AY$4:AY$195),2,IF(Data!AY30&lt;=QUARTILE(Data!AY$4:AY$195,3),3,4)))</f>
        <v>1</v>
      </c>
      <c r="AZ30" s="4">
        <f>IF(Data!AZ30&lt;=QUARTILE(Data!AZ$4:AZ$195,1),1,IF(Data!AZ30&lt;=MEDIAN(Data!AZ$4:AZ$195),2,IF(Data!AZ30&lt;=QUARTILE(Data!AZ$4:AZ$195,3),3,4)))</f>
        <v>3</v>
      </c>
      <c r="BA30" s="5">
        <f>IF(Data!BA30&lt;=QUARTILE(Data!BA$4:BA$195,1),1,IF(Data!BA30&lt;=MEDIAN(Data!BA$4:BA$195),2,IF(Data!BA30&lt;=QUARTILE(Data!BA$4:BA$195,3),3,4)))</f>
        <v>4</v>
      </c>
    </row>
    <row r="31" spans="1:53" x14ac:dyDescent="0.25">
      <c r="A31" s="4" t="s">
        <v>33</v>
      </c>
      <c r="B31" s="40">
        <v>2009</v>
      </c>
      <c r="C31" s="4">
        <v>5</v>
      </c>
      <c r="D31" s="3">
        <v>11</v>
      </c>
      <c r="E31" s="71" t="s">
        <v>96</v>
      </c>
      <c r="F31" s="3">
        <v>-9.3000000000000007</v>
      </c>
      <c r="G31" s="3">
        <v>-5</v>
      </c>
      <c r="H31" s="5">
        <v>-4.4000000000000004</v>
      </c>
      <c r="I31" s="4">
        <f>IF(Data!I31&lt;=QUARTILE(Data!I$4:I$195,1),1,IF(Data!I31&lt;=MEDIAN(Data!I$4:I$195),2,IF(Data!I31&lt;=QUARTILE(Data!I$4:I$195,3),3,4)))</f>
        <v>1</v>
      </c>
      <c r="J31" s="3">
        <f>IF(Data!J31&lt;=QUARTILE(Data!J$4:J$195,1),1,IF(Data!J31&lt;=MEDIAN(Data!J$4:J$195),2,IF(Data!J31&lt;=QUARTILE(Data!J$4:J$195,3),3,4)))</f>
        <v>2</v>
      </c>
      <c r="K31" s="3">
        <f>IF(Data!K31&lt;=QUARTILE(Data!K$4:K$195,1),1,IF(Data!K31&lt;=MEDIAN(Data!K$4:K$195),2,IF(Data!K31&lt;=QUARTILE(Data!K$4:K$195,3),3,4)))</f>
        <v>4</v>
      </c>
      <c r="L31" s="5">
        <f>IF(Data!L31&lt;=QUARTILE(Data!L$4:L$195,1),1,IF(Data!L31&lt;=MEDIAN(Data!L$4:L$195),2,IF(Data!L31&lt;=QUARTILE(Data!L$4:L$195,3),3,4)))</f>
        <v>2</v>
      </c>
      <c r="M31" s="4">
        <f>IF(Data!M31&lt;=QUARTILE(Data!M$4:M$195,1),1,IF(Data!M31&lt;=MEDIAN(Data!M$4:M$195),2,IF(Data!M31&lt;=QUARTILE(Data!M$4:M$195,3),3,4)))</f>
        <v>4</v>
      </c>
      <c r="N31" s="3">
        <f>IF(Data!N31&lt;=QUARTILE(Data!N$4:N$195,1),1,IF(Data!N31&lt;=MEDIAN(Data!N$4:N$195),2,IF(Data!N31&lt;=QUARTILE(Data!N$4:N$195,3),3,4)))</f>
        <v>4</v>
      </c>
      <c r="O31" s="3">
        <f>IF(Data!O31&lt;=QUARTILE(Data!O$4:O$195,1),1,IF(Data!O31&lt;=MEDIAN(Data!O$4:O$195),2,IF(Data!O31&lt;=QUARTILE(Data!O$4:O$195,3),3,4)))</f>
        <v>3</v>
      </c>
      <c r="P31" s="3">
        <f>IF(Data!P31&lt;=QUARTILE(Data!P$4:P$195,1),1,IF(Data!P31&lt;=MEDIAN(Data!P$4:P$195),2,IF(Data!P31&lt;=QUARTILE(Data!P$4:P$195,3),3,4)))</f>
        <v>2</v>
      </c>
      <c r="Q31" s="3">
        <f>IF(Data!Q31&lt;=QUARTILE(Data!Q$4:Q$195,1),1,IF(Data!Q31&lt;=MEDIAN(Data!Q$4:Q$195),2,IF(Data!Q31&lt;=QUARTILE(Data!Q$4:Q$195,3),3,4)))</f>
        <v>3</v>
      </c>
      <c r="R31" s="3">
        <f>IF(Data!R31&lt;=QUARTILE(Data!R$4:R$195,1),1,IF(Data!R31&lt;=MEDIAN(Data!R$4:R$195),2,IF(Data!R31&lt;=QUARTILE(Data!R$4:R$195,3),3,4)))</f>
        <v>2</v>
      </c>
      <c r="S31" s="3">
        <f>IF(Data!S31&lt;=QUARTILE(Data!S$4:S$195,1),1,IF(Data!S31&lt;=MEDIAN(Data!S$4:S$195),2,IF(Data!S31&lt;=QUARTILE(Data!S$4:S$195,3),3,4)))</f>
        <v>3</v>
      </c>
      <c r="T31" s="5">
        <f>IF(Data!T31&lt;=QUARTILE(Data!T$4:T$195,1),1,IF(Data!T31&lt;=MEDIAN(Data!T$4:T$195),2,IF(Data!T31&lt;=QUARTILE(Data!T$4:T$195,3),3,4)))</f>
        <v>3</v>
      </c>
      <c r="U31" s="4">
        <f>IF(Data!U31&lt;=QUARTILE(Data!U$4:U$195,1),1,IF(Data!U31&lt;=MEDIAN(Data!U$4:U$195),2,IF(Data!U31&lt;=QUARTILE(Data!U$4:U$195,3),3,4)))</f>
        <v>1</v>
      </c>
      <c r="V31" s="3">
        <f>IF(Data!V31&lt;=QUARTILE(Data!V$4:V$195,1),1,IF(Data!V31&lt;=MEDIAN(Data!V$4:V$195),2,IF(Data!V31&lt;=QUARTILE(Data!V$4:V$195,3),3,4)))</f>
        <v>1</v>
      </c>
      <c r="W31" s="3">
        <f>IF(Data!W31&lt;=QUARTILE(Data!W$4:W$195,1),1,IF(Data!W31&lt;=MEDIAN(Data!W$4:W$195),2,IF(Data!W31&lt;=QUARTILE(Data!W$4:W$195,3),3,4)))</f>
        <v>1</v>
      </c>
      <c r="X31" s="3">
        <f>IF(Data!X31&lt;=QUARTILE(Data!X$4:X$195,1),1,IF(Data!X31&lt;=MEDIAN(Data!X$4:X$195),2,IF(Data!X31&lt;=QUARTILE(Data!X$4:X$195,3),3,4)))</f>
        <v>1</v>
      </c>
      <c r="Y31" s="4">
        <f>IF(Data!Y31&lt;=QUARTILE(Data!Y$4:Y$195,1),1,IF(Data!Y31&lt;=MEDIAN(Data!Y$4:Y$195),2,IF(Data!Y31&lt;=QUARTILE(Data!Y$4:Y$195,3),3,4)))</f>
        <v>3</v>
      </c>
      <c r="Z31" s="5">
        <f>IF(Data!Z31&lt;=QUARTILE(Data!Z$4:Z$195,1),1,IF(Data!Z31&lt;=MEDIAN(Data!Z$4:Z$195),2,IF(Data!Z31&lt;=QUARTILE(Data!Z$4:Z$195,3),3,4)))</f>
        <v>2</v>
      </c>
      <c r="AA31" s="4">
        <f>IF(Data!AA31&lt;=QUARTILE(Data!AA$4:AA$195,1),1,IF(Data!AA31&lt;=MEDIAN(Data!AA$4:AA$195),2,IF(Data!AA31&lt;=QUARTILE(Data!AA$4:AA$195,3),3,4)))</f>
        <v>4</v>
      </c>
      <c r="AB31" s="5">
        <f>IF(Data!AB31&lt;=QUARTILE(Data!AB$4:AB$195,1),1,IF(Data!AB31&lt;=MEDIAN(Data!AB$4:AB$195),2,IF(Data!AB31&lt;=QUARTILE(Data!AB$4:AB$195,3),3,4)))</f>
        <v>3</v>
      </c>
      <c r="AC31" s="4">
        <f>IF(Data!AC31&lt;=QUARTILE(Data!AC$4:AC$195,1),1,IF(Data!AC31&lt;=MEDIAN(Data!AC$4:AC$195),2,IF(Data!AC31&lt;=QUARTILE(Data!AC$4:AC$195,3),3,4)))</f>
        <v>2</v>
      </c>
      <c r="AD31" s="5">
        <f>IF(Data!AD31&lt;=QUARTILE(Data!AD$4:AD$195,1),1,IF(Data!AD31&lt;=MEDIAN(Data!AD$4:AD$195),2,IF(Data!AD31&lt;=QUARTILE(Data!AD$4:AD$195,3),3,4)))</f>
        <v>2</v>
      </c>
      <c r="AE31" s="4">
        <f>IF(Data!AE31&lt;=QUARTILE(Data!AE$4:AE$195,1),1,IF(Data!AE31&lt;=MEDIAN(Data!AE$4:AE$195),2,IF(Data!AE31&lt;=QUARTILE(Data!AE$4:AE$195,3),3,4)))</f>
        <v>3</v>
      </c>
      <c r="AF31" s="3">
        <f>IF(Data!AF31&lt;=QUARTILE(Data!AF$4:AF$195,1),1,IF(Data!AF31&lt;=MEDIAN(Data!AF$4:AF$195),2,IF(Data!AF31&lt;=QUARTILE(Data!AF$4:AF$195,3),3,4)))</f>
        <v>3</v>
      </c>
      <c r="AG31" s="3">
        <f>IF(Data!AG31&lt;=QUARTILE(Data!AG$4:AG$195,1),1,IF(Data!AG31&lt;=MEDIAN(Data!AG$4:AG$195),2,IF(Data!AG31&lt;=QUARTILE(Data!AG$4:AG$195,3),3,4)))</f>
        <v>1</v>
      </c>
      <c r="AH31" s="3">
        <f>IF(Data!AH31&lt;=QUARTILE(Data!AH$4:AH$195,1),1,IF(Data!AH31&lt;=MEDIAN(Data!AH$4:AH$195),2,IF(Data!AH31&lt;=QUARTILE(Data!AH$4:AH$195,3),3,4)))</f>
        <v>1</v>
      </c>
      <c r="AI31" s="4">
        <f>IF(Data!AI31&lt;=QUARTILE(Data!AI$4:AI$195,1),1,IF(Data!AI31&lt;=MEDIAN(Data!AI$4:AI$195),2,IF(Data!AI31&lt;=QUARTILE(Data!AI$4:AI$195,3),3,4)))</f>
        <v>4</v>
      </c>
      <c r="AJ31" s="5">
        <f>IF(Data!AJ31&lt;=QUARTILE(Data!AJ$4:AJ$195,1),1,IF(Data!AJ31&lt;=MEDIAN(Data!AJ$4:AJ$195),2,IF(Data!AJ31&lt;=QUARTILE(Data!AJ$4:AJ$195,3),3,4)))</f>
        <v>1</v>
      </c>
      <c r="AK31" s="4">
        <f>IF(Data!AK31&lt;=QUARTILE(Data!AK$4:AK$195,1),1,IF(Data!AK31&lt;=MEDIAN(Data!AK$4:AK$195),2,IF(Data!AK31&lt;=QUARTILE(Data!AK$4:AK$195,3),3,4)))</f>
        <v>4</v>
      </c>
      <c r="AL31" s="3">
        <f>IF(Data!AL31&lt;=QUARTILE(Data!AL$4:AL$195,1),1,IF(Data!AL31&lt;=MEDIAN(Data!AL$4:AL$195),2,IF(Data!AL31&lt;=QUARTILE(Data!AL$4:AL$195,3),3,4)))</f>
        <v>4</v>
      </c>
      <c r="AM31" s="3">
        <f>IF(Data!AM31&lt;=QUARTILE(Data!AM$4:AM$195,1),1,IF(Data!AM31&lt;=MEDIAN(Data!AM$4:AM$195),2,IF(Data!AM31&lt;=QUARTILE(Data!AM$4:AM$195,3),3,4)))</f>
        <v>3</v>
      </c>
      <c r="AN31" s="5">
        <f>IF(Data!AN31&lt;=QUARTILE(Data!AN$4:AN$195,1),1,IF(Data!AN31&lt;=MEDIAN(Data!AN$4:AN$195),2,IF(Data!AN31&lt;=QUARTILE(Data!AN$4:AN$195,3),3,4)))</f>
        <v>3</v>
      </c>
      <c r="AO31" s="4">
        <f>IF(Data!AO31&lt;=QUARTILE(Data!AO$4:AO$195,1),1,IF(Data!AO31&lt;=MEDIAN(Data!AO$4:AO$195),2,IF(Data!AO31&lt;=QUARTILE(Data!AO$4:AO$195,3),3,4)))</f>
        <v>4</v>
      </c>
      <c r="AP31" s="3">
        <f>IF(Data!AP31&lt;=QUARTILE(Data!AP$4:AP$195,1),1,IF(Data!AP31&lt;=MEDIAN(Data!AP$4:AP$195),2,IF(Data!AP31&lt;=QUARTILE(Data!AP$4:AP$195,3),3,4)))</f>
        <v>4</v>
      </c>
      <c r="AQ31" s="3">
        <f>IF(Data!AQ31&lt;=QUARTILE(Data!AQ$4:AQ$195,1),1,IF(Data!AQ31&lt;=MEDIAN(Data!AQ$4:AQ$195),2,IF(Data!AQ31&lt;=QUARTILE(Data!AQ$4:AQ$195,3),3,4)))</f>
        <v>4</v>
      </c>
      <c r="AR31" s="3">
        <f>IF(Data!AR31&lt;=QUARTILE(Data!AR$4:AR$195,1),1,IF(Data!AR31&lt;=MEDIAN(Data!AR$4:AR$195),2,IF(Data!AR31&lt;=QUARTILE(Data!AR$4:AR$195,3),3,4)))</f>
        <v>4</v>
      </c>
      <c r="AS31" s="3">
        <f>IF(Data!AS31&lt;=QUARTILE(Data!AS$4:AS$195,1),1,IF(Data!AS31&lt;=MEDIAN(Data!AS$4:AS$195),2,IF(Data!AS31&lt;=QUARTILE(Data!AS$4:AS$195,3),3,4)))</f>
        <v>4</v>
      </c>
      <c r="AT31" s="3">
        <f>IF(Data!AT31&lt;=QUARTILE(Data!AT$4:AT$195,1),1,IF(Data!AT31&lt;=MEDIAN(Data!AT$4:AT$195),2,IF(Data!AT31&lt;=QUARTILE(Data!AT$4:AT$195,3),3,4)))</f>
        <v>1</v>
      </c>
      <c r="AU31" s="5">
        <f>IF(Data!AU31&lt;=QUARTILE(Data!AU$4:AU$195,1),1,IF(Data!AU31&lt;=MEDIAN(Data!AU$4:AU$195),2,IF(Data!AU31&lt;=QUARTILE(Data!AU$4:AU$195,3),3,4)))</f>
        <v>1</v>
      </c>
      <c r="AV31" s="4">
        <f>IF(Data!AV31&lt;=QUARTILE(Data!AV$4:AV$195,1),1,IF(Data!AV31&lt;=MEDIAN(Data!AV$4:AV$195),2,IF(Data!AV31&lt;=QUARTILE(Data!AV$4:AV$195,3),3,4)))</f>
        <v>2</v>
      </c>
      <c r="AW31" s="3">
        <f>IF(Data!AW31&lt;=QUARTILE(Data!AW$4:AW$195,1),1,IF(Data!AW31&lt;=MEDIAN(Data!AW$4:AW$195),2,IF(Data!AW31&lt;=QUARTILE(Data!AW$4:AW$195,3),3,4)))</f>
        <v>2</v>
      </c>
      <c r="AX31" s="3">
        <f>IF(Data!AX31&lt;=QUARTILE(Data!AX$4:AX$195,1),1,IF(Data!AX31&lt;=MEDIAN(Data!AX$4:AX$195),2,IF(Data!AX31&lt;=QUARTILE(Data!AX$4:AX$195,3),3,4)))</f>
        <v>4</v>
      </c>
      <c r="AY31" s="3">
        <f>IF(Data!AY31&lt;=QUARTILE(Data!AY$4:AY$195,1),1,IF(Data!AY31&lt;=MEDIAN(Data!AY$4:AY$195),2,IF(Data!AY31&lt;=QUARTILE(Data!AY$4:AY$195,3),3,4)))</f>
        <v>1</v>
      </c>
      <c r="AZ31" s="4">
        <f>IF(Data!AZ31&lt;=QUARTILE(Data!AZ$4:AZ$195,1),1,IF(Data!AZ31&lt;=MEDIAN(Data!AZ$4:AZ$195),2,IF(Data!AZ31&lt;=QUARTILE(Data!AZ$4:AZ$195,3),3,4)))</f>
        <v>1</v>
      </c>
      <c r="BA31" s="5">
        <f>IF(Data!BA31&lt;=QUARTILE(Data!BA$4:BA$195,1),1,IF(Data!BA31&lt;=MEDIAN(Data!BA$4:BA$195),2,IF(Data!BA31&lt;=QUARTILE(Data!BA$4:BA$195,3),3,4)))</f>
        <v>2</v>
      </c>
    </row>
    <row r="32" spans="1:53" x14ac:dyDescent="0.25">
      <c r="A32" s="4" t="s">
        <v>34</v>
      </c>
      <c r="B32" s="40">
        <v>2009</v>
      </c>
      <c r="C32" s="4">
        <v>1</v>
      </c>
      <c r="D32" s="3">
        <v>15</v>
      </c>
      <c r="E32" s="71" t="s">
        <v>96</v>
      </c>
      <c r="F32" s="3">
        <v>-17.399999999999999</v>
      </c>
      <c r="G32" s="3">
        <v>-11.7</v>
      </c>
      <c r="H32" s="5">
        <v>-5.8</v>
      </c>
      <c r="I32" s="4">
        <f>IF(Data!I32&lt;=QUARTILE(Data!I$4:I$195,1),1,IF(Data!I32&lt;=MEDIAN(Data!I$4:I$195),2,IF(Data!I32&lt;=QUARTILE(Data!I$4:I$195,3),3,4)))</f>
        <v>1</v>
      </c>
      <c r="J32" s="3">
        <f>IF(Data!J32&lt;=QUARTILE(Data!J$4:J$195,1),1,IF(Data!J32&lt;=MEDIAN(Data!J$4:J$195),2,IF(Data!J32&lt;=QUARTILE(Data!J$4:J$195,3),3,4)))</f>
        <v>1</v>
      </c>
      <c r="K32" s="3">
        <f>IF(Data!K32&lt;=QUARTILE(Data!K$4:K$195,1),1,IF(Data!K32&lt;=MEDIAN(Data!K$4:K$195),2,IF(Data!K32&lt;=QUARTILE(Data!K$4:K$195,3),3,4)))</f>
        <v>2</v>
      </c>
      <c r="L32" s="5">
        <f>IF(Data!L32&lt;=QUARTILE(Data!L$4:L$195,1),1,IF(Data!L32&lt;=MEDIAN(Data!L$4:L$195),2,IF(Data!L32&lt;=QUARTILE(Data!L$4:L$195,3),3,4)))</f>
        <v>1</v>
      </c>
      <c r="M32" s="4">
        <f>IF(Data!M32&lt;=QUARTILE(Data!M$4:M$195,1),1,IF(Data!M32&lt;=MEDIAN(Data!M$4:M$195),2,IF(Data!M32&lt;=QUARTILE(Data!M$4:M$195,3),3,4)))</f>
        <v>2</v>
      </c>
      <c r="N32" s="3">
        <f>IF(Data!N32&lt;=QUARTILE(Data!N$4:N$195,1),1,IF(Data!N32&lt;=MEDIAN(Data!N$4:N$195),2,IF(Data!N32&lt;=QUARTILE(Data!N$4:N$195,3),3,4)))</f>
        <v>3</v>
      </c>
      <c r="O32" s="3">
        <f>IF(Data!O32&lt;=QUARTILE(Data!O$4:O$195,1),1,IF(Data!O32&lt;=MEDIAN(Data!O$4:O$195),2,IF(Data!O32&lt;=QUARTILE(Data!O$4:O$195,3),3,4)))</f>
        <v>1</v>
      </c>
      <c r="P32" s="3">
        <f>IF(Data!P32&lt;=QUARTILE(Data!P$4:P$195,1),1,IF(Data!P32&lt;=MEDIAN(Data!P$4:P$195),2,IF(Data!P32&lt;=QUARTILE(Data!P$4:P$195,3),3,4)))</f>
        <v>1</v>
      </c>
      <c r="Q32" s="3">
        <f>IF(Data!Q32&lt;=QUARTILE(Data!Q$4:Q$195,1),1,IF(Data!Q32&lt;=MEDIAN(Data!Q$4:Q$195),2,IF(Data!Q32&lt;=QUARTILE(Data!Q$4:Q$195,3),3,4)))</f>
        <v>2</v>
      </c>
      <c r="R32" s="3">
        <f>IF(Data!R32&lt;=QUARTILE(Data!R$4:R$195,1),1,IF(Data!R32&lt;=MEDIAN(Data!R$4:R$195),2,IF(Data!R32&lt;=QUARTILE(Data!R$4:R$195,3),3,4)))</f>
        <v>1</v>
      </c>
      <c r="S32" s="3">
        <f>IF(Data!S32&lt;=QUARTILE(Data!S$4:S$195,1),1,IF(Data!S32&lt;=MEDIAN(Data!S$4:S$195),2,IF(Data!S32&lt;=QUARTILE(Data!S$4:S$195,3),3,4)))</f>
        <v>3</v>
      </c>
      <c r="T32" s="5">
        <f>IF(Data!T32&lt;=QUARTILE(Data!T$4:T$195,1),1,IF(Data!T32&lt;=MEDIAN(Data!T$4:T$195),2,IF(Data!T32&lt;=QUARTILE(Data!T$4:T$195,3),3,4)))</f>
        <v>4</v>
      </c>
      <c r="U32" s="4">
        <f>IF(Data!U32&lt;=QUARTILE(Data!U$4:U$195,1),1,IF(Data!U32&lt;=MEDIAN(Data!U$4:U$195),2,IF(Data!U32&lt;=QUARTILE(Data!U$4:U$195,3),3,4)))</f>
        <v>2</v>
      </c>
      <c r="V32" s="3">
        <f>IF(Data!V32&lt;=QUARTILE(Data!V$4:V$195,1),1,IF(Data!V32&lt;=MEDIAN(Data!V$4:V$195),2,IF(Data!V32&lt;=QUARTILE(Data!V$4:V$195,3),3,4)))</f>
        <v>2</v>
      </c>
      <c r="W32" s="3">
        <f>IF(Data!W32&lt;=QUARTILE(Data!W$4:W$195,1),1,IF(Data!W32&lt;=MEDIAN(Data!W$4:W$195),2,IF(Data!W32&lt;=QUARTILE(Data!W$4:W$195,3),3,4)))</f>
        <v>1</v>
      </c>
      <c r="X32" s="3">
        <f>IF(Data!X32&lt;=QUARTILE(Data!X$4:X$195,1),1,IF(Data!X32&lt;=MEDIAN(Data!X$4:X$195),2,IF(Data!X32&lt;=QUARTILE(Data!X$4:X$195,3),3,4)))</f>
        <v>1</v>
      </c>
      <c r="Y32" s="4">
        <f>IF(Data!Y32&lt;=QUARTILE(Data!Y$4:Y$195,1),1,IF(Data!Y32&lt;=MEDIAN(Data!Y$4:Y$195),2,IF(Data!Y32&lt;=QUARTILE(Data!Y$4:Y$195,3),3,4)))</f>
        <v>4</v>
      </c>
      <c r="Z32" s="5">
        <f>IF(Data!Z32&lt;=QUARTILE(Data!Z$4:Z$195,1),1,IF(Data!Z32&lt;=MEDIAN(Data!Z$4:Z$195),2,IF(Data!Z32&lt;=QUARTILE(Data!Z$4:Z$195,3),3,4)))</f>
        <v>2</v>
      </c>
      <c r="AA32" s="4">
        <f>IF(Data!AA32&lt;=QUARTILE(Data!AA$4:AA$195,1),1,IF(Data!AA32&lt;=MEDIAN(Data!AA$4:AA$195),2,IF(Data!AA32&lt;=QUARTILE(Data!AA$4:AA$195,3),3,4)))</f>
        <v>3</v>
      </c>
      <c r="AB32" s="5">
        <f>IF(Data!AB32&lt;=QUARTILE(Data!AB$4:AB$195,1),1,IF(Data!AB32&lt;=MEDIAN(Data!AB$4:AB$195),2,IF(Data!AB32&lt;=QUARTILE(Data!AB$4:AB$195,3),3,4)))</f>
        <v>3</v>
      </c>
      <c r="AC32" s="4">
        <f>IF(Data!AC32&lt;=QUARTILE(Data!AC$4:AC$195,1),1,IF(Data!AC32&lt;=MEDIAN(Data!AC$4:AC$195),2,IF(Data!AC32&lt;=QUARTILE(Data!AC$4:AC$195,3),3,4)))</f>
        <v>4</v>
      </c>
      <c r="AD32" s="5">
        <f>IF(Data!AD32&lt;=QUARTILE(Data!AD$4:AD$195,1),1,IF(Data!AD32&lt;=MEDIAN(Data!AD$4:AD$195),2,IF(Data!AD32&lt;=QUARTILE(Data!AD$4:AD$195,3),3,4)))</f>
        <v>4</v>
      </c>
      <c r="AE32" s="4">
        <f>IF(Data!AE32&lt;=QUARTILE(Data!AE$4:AE$195,1),1,IF(Data!AE32&lt;=MEDIAN(Data!AE$4:AE$195),2,IF(Data!AE32&lt;=QUARTILE(Data!AE$4:AE$195,3),3,4)))</f>
        <v>1</v>
      </c>
      <c r="AF32" s="3">
        <f>IF(Data!AF32&lt;=QUARTILE(Data!AF$4:AF$195,1),1,IF(Data!AF32&lt;=MEDIAN(Data!AF$4:AF$195),2,IF(Data!AF32&lt;=QUARTILE(Data!AF$4:AF$195,3),3,4)))</f>
        <v>1</v>
      </c>
      <c r="AG32" s="3">
        <f>IF(Data!AG32&lt;=QUARTILE(Data!AG$4:AG$195,1),1,IF(Data!AG32&lt;=MEDIAN(Data!AG$4:AG$195),2,IF(Data!AG32&lt;=QUARTILE(Data!AG$4:AG$195,3),3,4)))</f>
        <v>3</v>
      </c>
      <c r="AH32" s="3">
        <f>IF(Data!AH32&lt;=QUARTILE(Data!AH$4:AH$195,1),1,IF(Data!AH32&lt;=MEDIAN(Data!AH$4:AH$195),2,IF(Data!AH32&lt;=QUARTILE(Data!AH$4:AH$195,3),3,4)))</f>
        <v>3</v>
      </c>
      <c r="AI32" s="4">
        <f>IF(Data!AI32&lt;=QUARTILE(Data!AI$4:AI$195,1),1,IF(Data!AI32&lt;=MEDIAN(Data!AI$4:AI$195),2,IF(Data!AI32&lt;=QUARTILE(Data!AI$4:AI$195,3),3,4)))</f>
        <v>4</v>
      </c>
      <c r="AJ32" s="5">
        <f>IF(Data!AJ32&lt;=QUARTILE(Data!AJ$4:AJ$195,1),1,IF(Data!AJ32&lt;=MEDIAN(Data!AJ$4:AJ$195),2,IF(Data!AJ32&lt;=QUARTILE(Data!AJ$4:AJ$195,3),3,4)))</f>
        <v>1</v>
      </c>
      <c r="AK32" s="4">
        <f>IF(Data!AK32&lt;=QUARTILE(Data!AK$4:AK$195,1),1,IF(Data!AK32&lt;=MEDIAN(Data!AK$4:AK$195),2,IF(Data!AK32&lt;=QUARTILE(Data!AK$4:AK$195,3),3,4)))</f>
        <v>4</v>
      </c>
      <c r="AL32" s="3">
        <f>IF(Data!AL32&lt;=QUARTILE(Data!AL$4:AL$195,1),1,IF(Data!AL32&lt;=MEDIAN(Data!AL$4:AL$195),2,IF(Data!AL32&lt;=QUARTILE(Data!AL$4:AL$195,3),3,4)))</f>
        <v>4</v>
      </c>
      <c r="AM32" s="3">
        <f>IF(Data!AM32&lt;=QUARTILE(Data!AM$4:AM$195,1),1,IF(Data!AM32&lt;=MEDIAN(Data!AM$4:AM$195),2,IF(Data!AM32&lt;=QUARTILE(Data!AM$4:AM$195,3),3,4)))</f>
        <v>3</v>
      </c>
      <c r="AN32" s="5">
        <f>IF(Data!AN32&lt;=QUARTILE(Data!AN$4:AN$195,1),1,IF(Data!AN32&lt;=MEDIAN(Data!AN$4:AN$195),2,IF(Data!AN32&lt;=QUARTILE(Data!AN$4:AN$195,3),3,4)))</f>
        <v>4</v>
      </c>
      <c r="AO32" s="4">
        <f>IF(Data!AO32&lt;=QUARTILE(Data!AO$4:AO$195,1),1,IF(Data!AO32&lt;=MEDIAN(Data!AO$4:AO$195),2,IF(Data!AO32&lt;=QUARTILE(Data!AO$4:AO$195,3),3,4)))</f>
        <v>3</v>
      </c>
      <c r="AP32" s="3">
        <f>IF(Data!AP32&lt;=QUARTILE(Data!AP$4:AP$195,1),1,IF(Data!AP32&lt;=MEDIAN(Data!AP$4:AP$195),2,IF(Data!AP32&lt;=QUARTILE(Data!AP$4:AP$195,3),3,4)))</f>
        <v>1</v>
      </c>
      <c r="AQ32" s="3">
        <f>IF(Data!AQ32&lt;=QUARTILE(Data!AQ$4:AQ$195,1),1,IF(Data!AQ32&lt;=MEDIAN(Data!AQ$4:AQ$195),2,IF(Data!AQ32&lt;=QUARTILE(Data!AQ$4:AQ$195,3),3,4)))</f>
        <v>4</v>
      </c>
      <c r="AR32" s="3">
        <f>IF(Data!AR32&lt;=QUARTILE(Data!AR$4:AR$195,1),1,IF(Data!AR32&lt;=MEDIAN(Data!AR$4:AR$195),2,IF(Data!AR32&lt;=QUARTILE(Data!AR$4:AR$195,3),3,4)))</f>
        <v>3</v>
      </c>
      <c r="AS32" s="3">
        <f>IF(Data!AS32&lt;=QUARTILE(Data!AS$4:AS$195,1),1,IF(Data!AS32&lt;=MEDIAN(Data!AS$4:AS$195),2,IF(Data!AS32&lt;=QUARTILE(Data!AS$4:AS$195,3),3,4)))</f>
        <v>3</v>
      </c>
      <c r="AT32" s="3">
        <f>IF(Data!AT32&lt;=QUARTILE(Data!AT$4:AT$195,1),1,IF(Data!AT32&lt;=MEDIAN(Data!AT$4:AT$195),2,IF(Data!AT32&lt;=QUARTILE(Data!AT$4:AT$195,3),3,4)))</f>
        <v>1</v>
      </c>
      <c r="AU32" s="5">
        <f>IF(Data!AU32&lt;=QUARTILE(Data!AU$4:AU$195,1),1,IF(Data!AU32&lt;=MEDIAN(Data!AU$4:AU$195),2,IF(Data!AU32&lt;=QUARTILE(Data!AU$4:AU$195,3),3,4)))</f>
        <v>1</v>
      </c>
      <c r="AV32" s="4">
        <f>IF(Data!AV32&lt;=QUARTILE(Data!AV$4:AV$195,1),1,IF(Data!AV32&lt;=MEDIAN(Data!AV$4:AV$195),2,IF(Data!AV32&lt;=QUARTILE(Data!AV$4:AV$195,3),3,4)))</f>
        <v>4</v>
      </c>
      <c r="AW32" s="3">
        <f>IF(Data!AW32&lt;=QUARTILE(Data!AW$4:AW$195,1),1,IF(Data!AW32&lt;=MEDIAN(Data!AW$4:AW$195),2,IF(Data!AW32&lt;=QUARTILE(Data!AW$4:AW$195,3),3,4)))</f>
        <v>4</v>
      </c>
      <c r="AX32" s="3">
        <f>IF(Data!AX32&lt;=QUARTILE(Data!AX$4:AX$195,1),1,IF(Data!AX32&lt;=MEDIAN(Data!AX$4:AX$195),2,IF(Data!AX32&lt;=QUARTILE(Data!AX$4:AX$195,3),3,4)))</f>
        <v>4</v>
      </c>
      <c r="AY32" s="3">
        <f>IF(Data!AY32&lt;=QUARTILE(Data!AY$4:AY$195,1),1,IF(Data!AY32&lt;=MEDIAN(Data!AY$4:AY$195),2,IF(Data!AY32&lt;=QUARTILE(Data!AY$4:AY$195,3),3,4)))</f>
        <v>4</v>
      </c>
      <c r="AZ32" s="4">
        <f>IF(Data!AZ32&lt;=QUARTILE(Data!AZ$4:AZ$195,1),1,IF(Data!AZ32&lt;=MEDIAN(Data!AZ$4:AZ$195),2,IF(Data!AZ32&lt;=QUARTILE(Data!AZ$4:AZ$195,3),3,4)))</f>
        <v>1</v>
      </c>
      <c r="BA32" s="5">
        <f>IF(Data!BA32&lt;=QUARTILE(Data!BA$4:BA$195,1),1,IF(Data!BA32&lt;=MEDIAN(Data!BA$4:BA$195),2,IF(Data!BA32&lt;=QUARTILE(Data!BA$4:BA$195,3),3,4)))</f>
        <v>3</v>
      </c>
    </row>
    <row r="33" spans="1:53" x14ac:dyDescent="0.25">
      <c r="A33" s="4" t="s">
        <v>30</v>
      </c>
      <c r="B33" s="40">
        <v>2009</v>
      </c>
      <c r="C33" s="4">
        <v>3</v>
      </c>
      <c r="D33" s="3">
        <v>13</v>
      </c>
      <c r="E33" s="71" t="s">
        <v>96</v>
      </c>
      <c r="F33" s="3">
        <v>-5.6</v>
      </c>
      <c r="G33" s="3">
        <v>-4.5999999999999996</v>
      </c>
      <c r="H33" s="5">
        <v>-1.1000000000000001</v>
      </c>
      <c r="I33" s="4">
        <f>IF(Data!I33&lt;=QUARTILE(Data!I$4:I$195,1),1,IF(Data!I33&lt;=MEDIAN(Data!I$4:I$195),2,IF(Data!I33&lt;=QUARTILE(Data!I$4:I$195,3),3,4)))</f>
        <v>1</v>
      </c>
      <c r="J33" s="3">
        <f>IF(Data!J33&lt;=QUARTILE(Data!J$4:J$195,1),1,IF(Data!J33&lt;=MEDIAN(Data!J$4:J$195),2,IF(Data!J33&lt;=QUARTILE(Data!J$4:J$195,3),3,4)))</f>
        <v>1</v>
      </c>
      <c r="K33" s="3">
        <f>IF(Data!K33&lt;=QUARTILE(Data!K$4:K$195,1),1,IF(Data!K33&lt;=MEDIAN(Data!K$4:K$195),2,IF(Data!K33&lt;=QUARTILE(Data!K$4:K$195,3),3,4)))</f>
        <v>1</v>
      </c>
      <c r="L33" s="5">
        <f>IF(Data!L33&lt;=QUARTILE(Data!L$4:L$195,1),1,IF(Data!L33&lt;=MEDIAN(Data!L$4:L$195),2,IF(Data!L33&lt;=QUARTILE(Data!L$4:L$195,3),3,4)))</f>
        <v>1</v>
      </c>
      <c r="M33" s="4">
        <f>IF(Data!M33&lt;=QUARTILE(Data!M$4:M$195,1),1,IF(Data!M33&lt;=MEDIAN(Data!M$4:M$195),2,IF(Data!M33&lt;=QUARTILE(Data!M$4:M$195,3),3,4)))</f>
        <v>1</v>
      </c>
      <c r="N33" s="3">
        <f>IF(Data!N33&lt;=QUARTILE(Data!N$4:N$195,1),1,IF(Data!N33&lt;=MEDIAN(Data!N$4:N$195),2,IF(Data!N33&lt;=QUARTILE(Data!N$4:N$195,3),3,4)))</f>
        <v>2</v>
      </c>
      <c r="O33" s="3">
        <f>IF(Data!O33&lt;=QUARTILE(Data!O$4:O$195,1),1,IF(Data!O33&lt;=MEDIAN(Data!O$4:O$195),2,IF(Data!O33&lt;=QUARTILE(Data!O$4:O$195,3),3,4)))</f>
        <v>2</v>
      </c>
      <c r="P33" s="3">
        <f>IF(Data!P33&lt;=QUARTILE(Data!P$4:P$195,1),1,IF(Data!P33&lt;=MEDIAN(Data!P$4:P$195),2,IF(Data!P33&lt;=QUARTILE(Data!P$4:P$195,3),3,4)))</f>
        <v>2</v>
      </c>
      <c r="Q33" s="3">
        <f>IF(Data!Q33&lt;=QUARTILE(Data!Q$4:Q$195,1),1,IF(Data!Q33&lt;=MEDIAN(Data!Q$4:Q$195),2,IF(Data!Q33&lt;=QUARTILE(Data!Q$4:Q$195,3),3,4)))</f>
        <v>1</v>
      </c>
      <c r="R33" s="3">
        <f>IF(Data!R33&lt;=QUARTILE(Data!R$4:R$195,1),1,IF(Data!R33&lt;=MEDIAN(Data!R$4:R$195),2,IF(Data!R33&lt;=QUARTILE(Data!R$4:R$195,3),3,4)))</f>
        <v>1</v>
      </c>
      <c r="S33" s="3">
        <f>IF(Data!S33&lt;=QUARTILE(Data!S$4:S$195,1),1,IF(Data!S33&lt;=MEDIAN(Data!S$4:S$195),2,IF(Data!S33&lt;=QUARTILE(Data!S$4:S$195,3),3,4)))</f>
        <v>2</v>
      </c>
      <c r="T33" s="5">
        <f>IF(Data!T33&lt;=QUARTILE(Data!T$4:T$195,1),1,IF(Data!T33&lt;=MEDIAN(Data!T$4:T$195),2,IF(Data!T33&lt;=QUARTILE(Data!T$4:T$195,3),3,4)))</f>
        <v>1</v>
      </c>
      <c r="U33" s="4">
        <f>IF(Data!U33&lt;=QUARTILE(Data!U$4:U$195,1),1,IF(Data!U33&lt;=MEDIAN(Data!U$4:U$195),2,IF(Data!U33&lt;=QUARTILE(Data!U$4:U$195,3),3,4)))</f>
        <v>1</v>
      </c>
      <c r="V33" s="3">
        <f>IF(Data!V33&lt;=QUARTILE(Data!V$4:V$195,1),1,IF(Data!V33&lt;=MEDIAN(Data!V$4:V$195),2,IF(Data!V33&lt;=QUARTILE(Data!V$4:V$195,3),3,4)))</f>
        <v>2</v>
      </c>
      <c r="W33" s="3">
        <f>IF(Data!W33&lt;=QUARTILE(Data!W$4:W$195,1),1,IF(Data!W33&lt;=MEDIAN(Data!W$4:W$195),2,IF(Data!W33&lt;=QUARTILE(Data!W$4:W$195,3),3,4)))</f>
        <v>1</v>
      </c>
      <c r="X33" s="3">
        <f>IF(Data!X33&lt;=QUARTILE(Data!X$4:X$195,1),1,IF(Data!X33&lt;=MEDIAN(Data!X$4:X$195),2,IF(Data!X33&lt;=QUARTILE(Data!X$4:X$195,3),3,4)))</f>
        <v>1</v>
      </c>
      <c r="Y33" s="4">
        <f>IF(Data!Y33&lt;=QUARTILE(Data!Y$4:Y$195,1),1,IF(Data!Y33&lt;=MEDIAN(Data!Y$4:Y$195),2,IF(Data!Y33&lt;=QUARTILE(Data!Y$4:Y$195,3),3,4)))</f>
        <v>4</v>
      </c>
      <c r="Z33" s="5">
        <f>IF(Data!Z33&lt;=QUARTILE(Data!Z$4:Z$195,1),1,IF(Data!Z33&lt;=MEDIAN(Data!Z$4:Z$195),2,IF(Data!Z33&lt;=QUARTILE(Data!Z$4:Z$195,3),3,4)))</f>
        <v>1</v>
      </c>
      <c r="AA33" s="4">
        <f>IF(Data!AA33&lt;=QUARTILE(Data!AA$4:AA$195,1),1,IF(Data!AA33&lt;=MEDIAN(Data!AA$4:AA$195),2,IF(Data!AA33&lt;=QUARTILE(Data!AA$4:AA$195,3),3,4)))</f>
        <v>3</v>
      </c>
      <c r="AB33" s="5">
        <f>IF(Data!AB33&lt;=QUARTILE(Data!AB$4:AB$195,1),1,IF(Data!AB33&lt;=MEDIAN(Data!AB$4:AB$195),2,IF(Data!AB33&lt;=QUARTILE(Data!AB$4:AB$195,3),3,4)))</f>
        <v>4</v>
      </c>
      <c r="AC33" s="4">
        <f>IF(Data!AC33&lt;=QUARTILE(Data!AC$4:AC$195,1),1,IF(Data!AC33&lt;=MEDIAN(Data!AC$4:AC$195),2,IF(Data!AC33&lt;=QUARTILE(Data!AC$4:AC$195,3),3,4)))</f>
        <v>2</v>
      </c>
      <c r="AD33" s="5">
        <f>IF(Data!AD33&lt;=QUARTILE(Data!AD$4:AD$195,1),1,IF(Data!AD33&lt;=MEDIAN(Data!AD$4:AD$195),2,IF(Data!AD33&lt;=QUARTILE(Data!AD$4:AD$195,3),3,4)))</f>
        <v>4</v>
      </c>
      <c r="AE33" s="4">
        <f>IF(Data!AE33&lt;=QUARTILE(Data!AE$4:AE$195,1),1,IF(Data!AE33&lt;=MEDIAN(Data!AE$4:AE$195),2,IF(Data!AE33&lt;=QUARTILE(Data!AE$4:AE$195,3),3,4)))</f>
        <v>1</v>
      </c>
      <c r="AF33" s="3">
        <f>IF(Data!AF33&lt;=QUARTILE(Data!AF$4:AF$195,1),1,IF(Data!AF33&lt;=MEDIAN(Data!AF$4:AF$195),2,IF(Data!AF33&lt;=QUARTILE(Data!AF$4:AF$195,3),3,4)))</f>
        <v>1</v>
      </c>
      <c r="AG33" s="3">
        <f>IF(Data!AG33&lt;=QUARTILE(Data!AG$4:AG$195,1),1,IF(Data!AG33&lt;=MEDIAN(Data!AG$4:AG$195),2,IF(Data!AG33&lt;=QUARTILE(Data!AG$4:AG$195,3),3,4)))</f>
        <v>4</v>
      </c>
      <c r="AH33" s="3">
        <f>IF(Data!AH33&lt;=QUARTILE(Data!AH$4:AH$195,1),1,IF(Data!AH33&lt;=MEDIAN(Data!AH$4:AH$195),2,IF(Data!AH33&lt;=QUARTILE(Data!AH$4:AH$195,3),3,4)))</f>
        <v>2</v>
      </c>
      <c r="AI33" s="4">
        <f>IF(Data!AI33&lt;=QUARTILE(Data!AI$4:AI$195,1),1,IF(Data!AI33&lt;=MEDIAN(Data!AI$4:AI$195),2,IF(Data!AI33&lt;=QUARTILE(Data!AI$4:AI$195,3),3,4)))</f>
        <v>4</v>
      </c>
      <c r="AJ33" s="5">
        <f>IF(Data!AJ33&lt;=QUARTILE(Data!AJ$4:AJ$195,1),1,IF(Data!AJ33&lt;=MEDIAN(Data!AJ$4:AJ$195),2,IF(Data!AJ33&lt;=QUARTILE(Data!AJ$4:AJ$195,3),3,4)))</f>
        <v>1</v>
      </c>
      <c r="AK33" s="4">
        <f>IF(Data!AK33&lt;=QUARTILE(Data!AK$4:AK$195,1),1,IF(Data!AK33&lt;=MEDIAN(Data!AK$4:AK$195),2,IF(Data!AK33&lt;=QUARTILE(Data!AK$4:AK$195,3),3,4)))</f>
        <v>4</v>
      </c>
      <c r="AL33" s="3">
        <f>IF(Data!AL33&lt;=QUARTILE(Data!AL$4:AL$195,1),1,IF(Data!AL33&lt;=MEDIAN(Data!AL$4:AL$195),2,IF(Data!AL33&lt;=QUARTILE(Data!AL$4:AL$195,3),3,4)))</f>
        <v>4</v>
      </c>
      <c r="AM33" s="3">
        <f>IF(Data!AM33&lt;=QUARTILE(Data!AM$4:AM$195,1),1,IF(Data!AM33&lt;=MEDIAN(Data!AM$4:AM$195),2,IF(Data!AM33&lt;=QUARTILE(Data!AM$4:AM$195,3),3,4)))</f>
        <v>4</v>
      </c>
      <c r="AN33" s="5">
        <f>IF(Data!AN33&lt;=QUARTILE(Data!AN$4:AN$195,1),1,IF(Data!AN33&lt;=MEDIAN(Data!AN$4:AN$195),2,IF(Data!AN33&lt;=QUARTILE(Data!AN$4:AN$195,3),3,4)))</f>
        <v>4</v>
      </c>
      <c r="AO33" s="4">
        <f>IF(Data!AO33&lt;=QUARTILE(Data!AO$4:AO$195,1),1,IF(Data!AO33&lt;=MEDIAN(Data!AO$4:AO$195),2,IF(Data!AO33&lt;=QUARTILE(Data!AO$4:AO$195,3),3,4)))</f>
        <v>2</v>
      </c>
      <c r="AP33" s="3">
        <f>IF(Data!AP33&lt;=QUARTILE(Data!AP$4:AP$195,1),1,IF(Data!AP33&lt;=MEDIAN(Data!AP$4:AP$195),2,IF(Data!AP33&lt;=QUARTILE(Data!AP$4:AP$195,3),3,4)))</f>
        <v>1</v>
      </c>
      <c r="AQ33" s="3">
        <f>IF(Data!AQ33&lt;=QUARTILE(Data!AQ$4:AQ$195,1),1,IF(Data!AQ33&lt;=MEDIAN(Data!AQ$4:AQ$195),2,IF(Data!AQ33&lt;=QUARTILE(Data!AQ$4:AQ$195,3),3,4)))</f>
        <v>2</v>
      </c>
      <c r="AR33" s="3">
        <f>IF(Data!AR33&lt;=QUARTILE(Data!AR$4:AR$195,1),1,IF(Data!AR33&lt;=MEDIAN(Data!AR$4:AR$195),2,IF(Data!AR33&lt;=QUARTILE(Data!AR$4:AR$195,3),3,4)))</f>
        <v>4</v>
      </c>
      <c r="AS33" s="3">
        <f>IF(Data!AS33&lt;=QUARTILE(Data!AS$4:AS$195,1),1,IF(Data!AS33&lt;=MEDIAN(Data!AS$4:AS$195),2,IF(Data!AS33&lt;=QUARTILE(Data!AS$4:AS$195,3),3,4)))</f>
        <v>2</v>
      </c>
      <c r="AT33" s="3">
        <f>IF(Data!AT33&lt;=QUARTILE(Data!AT$4:AT$195,1),1,IF(Data!AT33&lt;=MEDIAN(Data!AT$4:AT$195),2,IF(Data!AT33&lt;=QUARTILE(Data!AT$4:AT$195,3),3,4)))</f>
        <v>1</v>
      </c>
      <c r="AU33" s="5">
        <f>IF(Data!AU33&lt;=QUARTILE(Data!AU$4:AU$195,1),1,IF(Data!AU33&lt;=MEDIAN(Data!AU$4:AU$195),2,IF(Data!AU33&lt;=QUARTILE(Data!AU$4:AU$195,3),3,4)))</f>
        <v>1</v>
      </c>
      <c r="AV33" s="4">
        <f>IF(Data!AV33&lt;=QUARTILE(Data!AV$4:AV$195,1),1,IF(Data!AV33&lt;=MEDIAN(Data!AV$4:AV$195),2,IF(Data!AV33&lt;=QUARTILE(Data!AV$4:AV$195,3),3,4)))</f>
        <v>4</v>
      </c>
      <c r="AW33" s="3">
        <f>IF(Data!AW33&lt;=QUARTILE(Data!AW$4:AW$195,1),1,IF(Data!AW33&lt;=MEDIAN(Data!AW$4:AW$195),2,IF(Data!AW33&lt;=QUARTILE(Data!AW$4:AW$195,3),3,4)))</f>
        <v>4</v>
      </c>
      <c r="AX33" s="3">
        <f>IF(Data!AX33&lt;=QUARTILE(Data!AX$4:AX$195,1),1,IF(Data!AX33&lt;=MEDIAN(Data!AX$4:AX$195),2,IF(Data!AX33&lt;=QUARTILE(Data!AX$4:AX$195,3),3,4)))</f>
        <v>3</v>
      </c>
      <c r="AY33" s="3">
        <f>IF(Data!AY33&lt;=QUARTILE(Data!AY$4:AY$195,1),1,IF(Data!AY33&lt;=MEDIAN(Data!AY$4:AY$195),2,IF(Data!AY33&lt;=QUARTILE(Data!AY$4:AY$195,3),3,4)))</f>
        <v>4</v>
      </c>
      <c r="AZ33" s="4">
        <f>IF(Data!AZ33&lt;=QUARTILE(Data!AZ$4:AZ$195,1),1,IF(Data!AZ33&lt;=MEDIAN(Data!AZ$4:AZ$195),2,IF(Data!AZ33&lt;=QUARTILE(Data!AZ$4:AZ$195,3),3,4)))</f>
        <v>3</v>
      </c>
      <c r="BA33" s="5">
        <f>IF(Data!BA33&lt;=QUARTILE(Data!BA$4:BA$195,1),1,IF(Data!BA33&lt;=MEDIAN(Data!BA$4:BA$195),2,IF(Data!BA33&lt;=QUARTILE(Data!BA$4:BA$195,3),3,4)))</f>
        <v>2</v>
      </c>
    </row>
    <row r="34" spans="1:53" x14ac:dyDescent="0.25">
      <c r="A34" s="4" t="s">
        <v>13</v>
      </c>
      <c r="B34" s="40">
        <v>2009</v>
      </c>
      <c r="C34" s="4">
        <v>8</v>
      </c>
      <c r="D34" s="3">
        <v>8</v>
      </c>
      <c r="E34" s="71" t="s">
        <v>96</v>
      </c>
      <c r="F34" s="3">
        <v>-2.8</v>
      </c>
      <c r="G34" s="3">
        <v>0.9</v>
      </c>
      <c r="H34" s="5">
        <v>-3.6</v>
      </c>
      <c r="I34" s="4">
        <f>IF(Data!I34&lt;=QUARTILE(Data!I$4:I$195,1),1,IF(Data!I34&lt;=MEDIAN(Data!I$4:I$195),2,IF(Data!I34&lt;=QUARTILE(Data!I$4:I$195,3),3,4)))</f>
        <v>3</v>
      </c>
      <c r="J34" s="3">
        <f>IF(Data!J34&lt;=QUARTILE(Data!J$4:J$195,1),1,IF(Data!J34&lt;=MEDIAN(Data!J$4:J$195),2,IF(Data!J34&lt;=QUARTILE(Data!J$4:J$195,3),3,4)))</f>
        <v>4</v>
      </c>
      <c r="K34" s="3">
        <f>IF(Data!K34&lt;=QUARTILE(Data!K$4:K$195,1),1,IF(Data!K34&lt;=MEDIAN(Data!K$4:K$195),2,IF(Data!K34&lt;=QUARTILE(Data!K$4:K$195,3),3,4)))</f>
        <v>2</v>
      </c>
      <c r="L34" s="5">
        <f>IF(Data!L34&lt;=QUARTILE(Data!L$4:L$195,1),1,IF(Data!L34&lt;=MEDIAN(Data!L$4:L$195),2,IF(Data!L34&lt;=QUARTILE(Data!L$4:L$195,3),3,4)))</f>
        <v>2</v>
      </c>
      <c r="M34" s="4">
        <f>IF(Data!M34&lt;=QUARTILE(Data!M$4:M$195,1),1,IF(Data!M34&lt;=MEDIAN(Data!M$4:M$195),2,IF(Data!M34&lt;=QUARTILE(Data!M$4:M$195,3),3,4)))</f>
        <v>1</v>
      </c>
      <c r="N34" s="3">
        <f>IF(Data!N34&lt;=QUARTILE(Data!N$4:N$195,1),1,IF(Data!N34&lt;=MEDIAN(Data!N$4:N$195),2,IF(Data!N34&lt;=QUARTILE(Data!N$4:N$195,3),3,4)))</f>
        <v>1</v>
      </c>
      <c r="O34" s="3">
        <f>IF(Data!O34&lt;=QUARTILE(Data!O$4:O$195,1),1,IF(Data!O34&lt;=MEDIAN(Data!O$4:O$195),2,IF(Data!O34&lt;=QUARTILE(Data!O$4:O$195,3),3,4)))</f>
        <v>2</v>
      </c>
      <c r="P34" s="3">
        <f>IF(Data!P34&lt;=QUARTILE(Data!P$4:P$195,1),1,IF(Data!P34&lt;=MEDIAN(Data!P$4:P$195),2,IF(Data!P34&lt;=QUARTILE(Data!P$4:P$195,3),3,4)))</f>
        <v>1</v>
      </c>
      <c r="Q34" s="3">
        <f>IF(Data!Q34&lt;=QUARTILE(Data!Q$4:Q$195,1),1,IF(Data!Q34&lt;=MEDIAN(Data!Q$4:Q$195),2,IF(Data!Q34&lt;=QUARTILE(Data!Q$4:Q$195,3),3,4)))</f>
        <v>2</v>
      </c>
      <c r="R34" s="3">
        <f>IF(Data!R34&lt;=QUARTILE(Data!R$4:R$195,1),1,IF(Data!R34&lt;=MEDIAN(Data!R$4:R$195),2,IF(Data!R34&lt;=QUARTILE(Data!R$4:R$195,3),3,4)))</f>
        <v>2</v>
      </c>
      <c r="S34" s="3">
        <f>IF(Data!S34&lt;=QUARTILE(Data!S$4:S$195,1),1,IF(Data!S34&lt;=MEDIAN(Data!S$4:S$195),2,IF(Data!S34&lt;=QUARTILE(Data!S$4:S$195,3),3,4)))</f>
        <v>1</v>
      </c>
      <c r="T34" s="5">
        <f>IF(Data!T34&lt;=QUARTILE(Data!T$4:T$195,1),1,IF(Data!T34&lt;=MEDIAN(Data!T$4:T$195),2,IF(Data!T34&lt;=QUARTILE(Data!T$4:T$195,3),3,4)))</f>
        <v>1</v>
      </c>
      <c r="U34" s="4">
        <f>IF(Data!U34&lt;=QUARTILE(Data!U$4:U$195,1),1,IF(Data!U34&lt;=MEDIAN(Data!U$4:U$195),2,IF(Data!U34&lt;=QUARTILE(Data!U$4:U$195,3),3,4)))</f>
        <v>4</v>
      </c>
      <c r="V34" s="3">
        <f>IF(Data!V34&lt;=QUARTILE(Data!V$4:V$195,1),1,IF(Data!V34&lt;=MEDIAN(Data!V$4:V$195),2,IF(Data!V34&lt;=QUARTILE(Data!V$4:V$195,3),3,4)))</f>
        <v>4</v>
      </c>
      <c r="W34" s="3">
        <f>IF(Data!W34&lt;=QUARTILE(Data!W$4:W$195,1),1,IF(Data!W34&lt;=MEDIAN(Data!W$4:W$195),2,IF(Data!W34&lt;=QUARTILE(Data!W$4:W$195,3),3,4)))</f>
        <v>4</v>
      </c>
      <c r="X34" s="3">
        <f>IF(Data!X34&lt;=QUARTILE(Data!X$4:X$195,1),1,IF(Data!X34&lt;=MEDIAN(Data!X$4:X$195),2,IF(Data!X34&lt;=QUARTILE(Data!X$4:X$195,3),3,4)))</f>
        <v>4</v>
      </c>
      <c r="Y34" s="4">
        <f>IF(Data!Y34&lt;=QUARTILE(Data!Y$4:Y$195,1),1,IF(Data!Y34&lt;=MEDIAN(Data!Y$4:Y$195),2,IF(Data!Y34&lt;=QUARTILE(Data!Y$4:Y$195,3),3,4)))</f>
        <v>2</v>
      </c>
      <c r="Z34" s="5">
        <f>IF(Data!Z34&lt;=QUARTILE(Data!Z$4:Z$195,1),1,IF(Data!Z34&lt;=MEDIAN(Data!Z$4:Z$195),2,IF(Data!Z34&lt;=QUARTILE(Data!Z$4:Z$195,3),3,4)))</f>
        <v>3</v>
      </c>
      <c r="AA34" s="4">
        <f>IF(Data!AA34&lt;=QUARTILE(Data!AA$4:AA$195,1),1,IF(Data!AA34&lt;=MEDIAN(Data!AA$4:AA$195),2,IF(Data!AA34&lt;=QUARTILE(Data!AA$4:AA$195,3),3,4)))</f>
        <v>2</v>
      </c>
      <c r="AB34" s="5">
        <f>IF(Data!AB34&lt;=QUARTILE(Data!AB$4:AB$195,1),1,IF(Data!AB34&lt;=MEDIAN(Data!AB$4:AB$195),2,IF(Data!AB34&lt;=QUARTILE(Data!AB$4:AB$195,3),3,4)))</f>
        <v>1</v>
      </c>
      <c r="AC34" s="4">
        <f>IF(Data!AC34&lt;=QUARTILE(Data!AC$4:AC$195,1),1,IF(Data!AC34&lt;=MEDIAN(Data!AC$4:AC$195),2,IF(Data!AC34&lt;=QUARTILE(Data!AC$4:AC$195,3),3,4)))</f>
        <v>3</v>
      </c>
      <c r="AD34" s="5">
        <f>IF(Data!AD34&lt;=QUARTILE(Data!AD$4:AD$195,1),1,IF(Data!AD34&lt;=MEDIAN(Data!AD$4:AD$195),2,IF(Data!AD34&lt;=QUARTILE(Data!AD$4:AD$195,3),3,4)))</f>
        <v>2</v>
      </c>
      <c r="AE34" s="4">
        <f>IF(Data!AE34&lt;=QUARTILE(Data!AE$4:AE$195,1),1,IF(Data!AE34&lt;=MEDIAN(Data!AE$4:AE$195),2,IF(Data!AE34&lt;=QUARTILE(Data!AE$4:AE$195,3),3,4)))</f>
        <v>1</v>
      </c>
      <c r="AF34" s="3">
        <f>IF(Data!AF34&lt;=QUARTILE(Data!AF$4:AF$195,1),1,IF(Data!AF34&lt;=MEDIAN(Data!AF$4:AF$195),2,IF(Data!AF34&lt;=QUARTILE(Data!AF$4:AF$195,3),3,4)))</f>
        <v>1</v>
      </c>
      <c r="AG34" s="3">
        <f>IF(Data!AG34&lt;=QUARTILE(Data!AG$4:AG$195,1),1,IF(Data!AG34&lt;=MEDIAN(Data!AG$4:AG$195),2,IF(Data!AG34&lt;=QUARTILE(Data!AG$4:AG$195,3),3,4)))</f>
        <v>4</v>
      </c>
      <c r="AH34" s="3">
        <f>IF(Data!AH34&lt;=QUARTILE(Data!AH$4:AH$195,1),1,IF(Data!AH34&lt;=MEDIAN(Data!AH$4:AH$195),2,IF(Data!AH34&lt;=QUARTILE(Data!AH$4:AH$195,3),3,4)))</f>
        <v>4</v>
      </c>
      <c r="AI34" s="4">
        <f>IF(Data!AI34&lt;=QUARTILE(Data!AI$4:AI$195,1),1,IF(Data!AI34&lt;=MEDIAN(Data!AI$4:AI$195),2,IF(Data!AI34&lt;=QUARTILE(Data!AI$4:AI$195,3),3,4)))</f>
        <v>2</v>
      </c>
      <c r="AJ34" s="5">
        <f>IF(Data!AJ34&lt;=QUARTILE(Data!AJ$4:AJ$195,1),1,IF(Data!AJ34&lt;=MEDIAN(Data!AJ$4:AJ$195),2,IF(Data!AJ34&lt;=QUARTILE(Data!AJ$4:AJ$195,3),3,4)))</f>
        <v>1</v>
      </c>
      <c r="AK34" s="4">
        <f>IF(Data!AK34&lt;=QUARTILE(Data!AK$4:AK$195,1),1,IF(Data!AK34&lt;=MEDIAN(Data!AK$4:AK$195),2,IF(Data!AK34&lt;=QUARTILE(Data!AK$4:AK$195,3),3,4)))</f>
        <v>4</v>
      </c>
      <c r="AL34" s="3">
        <f>IF(Data!AL34&lt;=QUARTILE(Data!AL$4:AL$195,1),1,IF(Data!AL34&lt;=MEDIAN(Data!AL$4:AL$195),2,IF(Data!AL34&lt;=QUARTILE(Data!AL$4:AL$195,3),3,4)))</f>
        <v>4</v>
      </c>
      <c r="AM34" s="3">
        <f>IF(Data!AM34&lt;=QUARTILE(Data!AM$4:AM$195,1),1,IF(Data!AM34&lt;=MEDIAN(Data!AM$4:AM$195),2,IF(Data!AM34&lt;=QUARTILE(Data!AM$4:AM$195,3),3,4)))</f>
        <v>4</v>
      </c>
      <c r="AN34" s="5">
        <f>IF(Data!AN34&lt;=QUARTILE(Data!AN$4:AN$195,1),1,IF(Data!AN34&lt;=MEDIAN(Data!AN$4:AN$195),2,IF(Data!AN34&lt;=QUARTILE(Data!AN$4:AN$195,3),3,4)))</f>
        <v>4</v>
      </c>
      <c r="AO34" s="4">
        <f>IF(Data!AO34&lt;=QUARTILE(Data!AO$4:AO$195,1),1,IF(Data!AO34&lt;=MEDIAN(Data!AO$4:AO$195),2,IF(Data!AO34&lt;=QUARTILE(Data!AO$4:AO$195,3),3,4)))</f>
        <v>4</v>
      </c>
      <c r="AP34" s="3">
        <f>IF(Data!AP34&lt;=QUARTILE(Data!AP$4:AP$195,1),1,IF(Data!AP34&lt;=MEDIAN(Data!AP$4:AP$195),2,IF(Data!AP34&lt;=QUARTILE(Data!AP$4:AP$195,3),3,4)))</f>
        <v>4</v>
      </c>
      <c r="AQ34" s="3">
        <f>IF(Data!AQ34&lt;=QUARTILE(Data!AQ$4:AQ$195,1),1,IF(Data!AQ34&lt;=MEDIAN(Data!AQ$4:AQ$195),2,IF(Data!AQ34&lt;=QUARTILE(Data!AQ$4:AQ$195,3),3,4)))</f>
        <v>4</v>
      </c>
      <c r="AR34" s="3">
        <f>IF(Data!AR34&lt;=QUARTILE(Data!AR$4:AR$195,1),1,IF(Data!AR34&lt;=MEDIAN(Data!AR$4:AR$195),2,IF(Data!AR34&lt;=QUARTILE(Data!AR$4:AR$195,3),3,4)))</f>
        <v>4</v>
      </c>
      <c r="AS34" s="3">
        <f>IF(Data!AS34&lt;=QUARTILE(Data!AS$4:AS$195,1),1,IF(Data!AS34&lt;=MEDIAN(Data!AS$4:AS$195),2,IF(Data!AS34&lt;=QUARTILE(Data!AS$4:AS$195,3),3,4)))</f>
        <v>4</v>
      </c>
      <c r="AT34" s="3">
        <f>IF(Data!AT34&lt;=QUARTILE(Data!AT$4:AT$195,1),1,IF(Data!AT34&lt;=MEDIAN(Data!AT$4:AT$195),2,IF(Data!AT34&lt;=QUARTILE(Data!AT$4:AT$195,3),3,4)))</f>
        <v>2</v>
      </c>
      <c r="AU34" s="5">
        <f>IF(Data!AU34&lt;=QUARTILE(Data!AU$4:AU$195,1),1,IF(Data!AU34&lt;=MEDIAN(Data!AU$4:AU$195),2,IF(Data!AU34&lt;=QUARTILE(Data!AU$4:AU$195,3),3,4)))</f>
        <v>3</v>
      </c>
      <c r="AV34" s="4">
        <f>IF(Data!AV34&lt;=QUARTILE(Data!AV$4:AV$195,1),1,IF(Data!AV34&lt;=MEDIAN(Data!AV$4:AV$195),2,IF(Data!AV34&lt;=QUARTILE(Data!AV$4:AV$195,3),3,4)))</f>
        <v>1</v>
      </c>
      <c r="AW34" s="3">
        <f>IF(Data!AW34&lt;=QUARTILE(Data!AW$4:AW$195,1),1,IF(Data!AW34&lt;=MEDIAN(Data!AW$4:AW$195),2,IF(Data!AW34&lt;=QUARTILE(Data!AW$4:AW$195,3),3,4)))</f>
        <v>2</v>
      </c>
      <c r="AX34" s="3">
        <f>IF(Data!AX34&lt;=QUARTILE(Data!AX$4:AX$195,1),1,IF(Data!AX34&lt;=MEDIAN(Data!AX$4:AX$195),2,IF(Data!AX34&lt;=QUARTILE(Data!AX$4:AX$195,3),3,4)))</f>
        <v>3</v>
      </c>
      <c r="AY34" s="3">
        <f>IF(Data!AY34&lt;=QUARTILE(Data!AY$4:AY$195,1),1,IF(Data!AY34&lt;=MEDIAN(Data!AY$4:AY$195),2,IF(Data!AY34&lt;=QUARTILE(Data!AY$4:AY$195,3),3,4)))</f>
        <v>2</v>
      </c>
      <c r="AZ34" s="4">
        <f>IF(Data!AZ34&lt;=QUARTILE(Data!AZ$4:AZ$195,1),1,IF(Data!AZ34&lt;=MEDIAN(Data!AZ$4:AZ$195),2,IF(Data!AZ34&lt;=QUARTILE(Data!AZ$4:AZ$195,3),3,4)))</f>
        <v>4</v>
      </c>
      <c r="BA34" s="5">
        <f>IF(Data!BA34&lt;=QUARTILE(Data!BA$4:BA$195,1),1,IF(Data!BA34&lt;=MEDIAN(Data!BA$4:BA$195),2,IF(Data!BA34&lt;=QUARTILE(Data!BA$4:BA$195,3),3,4)))</f>
        <v>1</v>
      </c>
    </row>
    <row r="35" spans="1:53" ht="15.75" thickBot="1" x14ac:dyDescent="0.3">
      <c r="A35" s="6" t="s">
        <v>22</v>
      </c>
      <c r="B35" s="41">
        <v>2009</v>
      </c>
      <c r="C35" s="6">
        <v>4</v>
      </c>
      <c r="D35" s="8">
        <v>12</v>
      </c>
      <c r="E35" s="72" t="s">
        <v>96</v>
      </c>
      <c r="F35" s="8">
        <v>-4.5999999999999996</v>
      </c>
      <c r="G35" s="8">
        <v>-5.5</v>
      </c>
      <c r="H35" s="7">
        <v>1</v>
      </c>
      <c r="I35" s="6">
        <f>IF(Data!I35&lt;=QUARTILE(Data!I$4:I$195,1),1,IF(Data!I35&lt;=MEDIAN(Data!I$4:I$195),2,IF(Data!I35&lt;=QUARTILE(Data!I$4:I$195,3),3,4)))</f>
        <v>1</v>
      </c>
      <c r="J35" s="8">
        <f>IF(Data!J35&lt;=QUARTILE(Data!J$4:J$195,1),1,IF(Data!J35&lt;=MEDIAN(Data!J$4:J$195),2,IF(Data!J35&lt;=QUARTILE(Data!J$4:J$195,3),3,4)))</f>
        <v>2</v>
      </c>
      <c r="K35" s="8">
        <f>IF(Data!K35&lt;=QUARTILE(Data!K$4:K$195,1),1,IF(Data!K35&lt;=MEDIAN(Data!K$4:K$195),2,IF(Data!K35&lt;=QUARTILE(Data!K$4:K$195,3),3,4)))</f>
        <v>1</v>
      </c>
      <c r="L35" s="7">
        <f>IF(Data!L35&lt;=QUARTILE(Data!L$4:L$195,1),1,IF(Data!L35&lt;=MEDIAN(Data!L$4:L$195),2,IF(Data!L35&lt;=QUARTILE(Data!L$4:L$195,3),3,4)))</f>
        <v>2</v>
      </c>
      <c r="M35" s="6">
        <f>IF(Data!M35&lt;=QUARTILE(Data!M$4:M$195,1),1,IF(Data!M35&lt;=MEDIAN(Data!M$4:M$195),2,IF(Data!M35&lt;=QUARTILE(Data!M$4:M$195,3),3,4)))</f>
        <v>3</v>
      </c>
      <c r="N35" s="8">
        <f>IF(Data!N35&lt;=QUARTILE(Data!N$4:N$195,1),1,IF(Data!N35&lt;=MEDIAN(Data!N$4:N$195),2,IF(Data!N35&lt;=QUARTILE(Data!N$4:N$195,3),3,4)))</f>
        <v>3</v>
      </c>
      <c r="O35" s="8">
        <f>IF(Data!O35&lt;=QUARTILE(Data!O$4:O$195,1),1,IF(Data!O35&lt;=MEDIAN(Data!O$4:O$195),2,IF(Data!O35&lt;=QUARTILE(Data!O$4:O$195,3),3,4)))</f>
        <v>3</v>
      </c>
      <c r="P35" s="8">
        <f>IF(Data!P35&lt;=QUARTILE(Data!P$4:P$195,1),1,IF(Data!P35&lt;=MEDIAN(Data!P$4:P$195),2,IF(Data!P35&lt;=QUARTILE(Data!P$4:P$195,3),3,4)))</f>
        <v>2</v>
      </c>
      <c r="Q35" s="8">
        <f>IF(Data!Q35&lt;=QUARTILE(Data!Q$4:Q$195,1),1,IF(Data!Q35&lt;=MEDIAN(Data!Q$4:Q$195),2,IF(Data!Q35&lt;=QUARTILE(Data!Q$4:Q$195,3),3,4)))</f>
        <v>3</v>
      </c>
      <c r="R35" s="8">
        <f>IF(Data!R35&lt;=QUARTILE(Data!R$4:R$195,1),1,IF(Data!R35&lt;=MEDIAN(Data!R$4:R$195),2,IF(Data!R35&lt;=QUARTILE(Data!R$4:R$195,3),3,4)))</f>
        <v>3</v>
      </c>
      <c r="S35" s="8">
        <f>IF(Data!S35&lt;=QUARTILE(Data!S$4:S$195,1),1,IF(Data!S35&lt;=MEDIAN(Data!S$4:S$195),2,IF(Data!S35&lt;=QUARTILE(Data!S$4:S$195,3),3,4)))</f>
        <v>4</v>
      </c>
      <c r="T35" s="7">
        <f>IF(Data!T35&lt;=QUARTILE(Data!T$4:T$195,1),1,IF(Data!T35&lt;=MEDIAN(Data!T$4:T$195),2,IF(Data!T35&lt;=QUARTILE(Data!T$4:T$195,3),3,4)))</f>
        <v>4</v>
      </c>
      <c r="U35" s="6">
        <f>IF(Data!U35&lt;=QUARTILE(Data!U$4:U$195,1),1,IF(Data!U35&lt;=MEDIAN(Data!U$4:U$195),2,IF(Data!U35&lt;=QUARTILE(Data!U$4:U$195,3),3,4)))</f>
        <v>1</v>
      </c>
      <c r="V35" s="8">
        <f>IF(Data!V35&lt;=QUARTILE(Data!V$4:V$195,1),1,IF(Data!V35&lt;=MEDIAN(Data!V$4:V$195),2,IF(Data!V35&lt;=QUARTILE(Data!V$4:V$195,3),3,4)))</f>
        <v>1</v>
      </c>
      <c r="W35" s="8">
        <f>IF(Data!W35&lt;=QUARTILE(Data!W$4:W$195,1),1,IF(Data!W35&lt;=MEDIAN(Data!W$4:W$195),2,IF(Data!W35&lt;=QUARTILE(Data!W$4:W$195,3),3,4)))</f>
        <v>1</v>
      </c>
      <c r="X35" s="8">
        <f>IF(Data!X35&lt;=QUARTILE(Data!X$4:X$195,1),1,IF(Data!X35&lt;=MEDIAN(Data!X$4:X$195),2,IF(Data!X35&lt;=QUARTILE(Data!X$4:X$195,3),3,4)))</f>
        <v>1</v>
      </c>
      <c r="Y35" s="6">
        <f>IF(Data!Y35&lt;=QUARTILE(Data!Y$4:Y$195,1),1,IF(Data!Y35&lt;=MEDIAN(Data!Y$4:Y$195),2,IF(Data!Y35&lt;=QUARTILE(Data!Y$4:Y$195,3),3,4)))</f>
        <v>2</v>
      </c>
      <c r="Z35" s="7">
        <f>IF(Data!Z35&lt;=QUARTILE(Data!Z$4:Z$195,1),1,IF(Data!Z35&lt;=MEDIAN(Data!Z$4:Z$195),2,IF(Data!Z35&lt;=QUARTILE(Data!Z$4:Z$195,3),3,4)))</f>
        <v>2</v>
      </c>
      <c r="AA35" s="6">
        <f>IF(Data!AA35&lt;=QUARTILE(Data!AA$4:AA$195,1),1,IF(Data!AA35&lt;=MEDIAN(Data!AA$4:AA$195),2,IF(Data!AA35&lt;=QUARTILE(Data!AA$4:AA$195,3),3,4)))</f>
        <v>2</v>
      </c>
      <c r="AB35" s="7">
        <f>IF(Data!AB35&lt;=QUARTILE(Data!AB$4:AB$195,1),1,IF(Data!AB35&lt;=MEDIAN(Data!AB$4:AB$195),2,IF(Data!AB35&lt;=QUARTILE(Data!AB$4:AB$195,3),3,4)))</f>
        <v>1</v>
      </c>
      <c r="AC35" s="6">
        <f>IF(Data!AC35&lt;=QUARTILE(Data!AC$4:AC$195,1),1,IF(Data!AC35&lt;=MEDIAN(Data!AC$4:AC$195),2,IF(Data!AC35&lt;=QUARTILE(Data!AC$4:AC$195,3),3,4)))</f>
        <v>2</v>
      </c>
      <c r="AD35" s="7">
        <f>IF(Data!AD35&lt;=QUARTILE(Data!AD$4:AD$195,1),1,IF(Data!AD35&lt;=MEDIAN(Data!AD$4:AD$195),2,IF(Data!AD35&lt;=QUARTILE(Data!AD$4:AD$195,3),3,4)))</f>
        <v>2</v>
      </c>
      <c r="AE35" s="6">
        <f>IF(Data!AE35&lt;=QUARTILE(Data!AE$4:AE$195,1),1,IF(Data!AE35&lt;=MEDIAN(Data!AE$4:AE$195),2,IF(Data!AE35&lt;=QUARTILE(Data!AE$4:AE$195,3),3,4)))</f>
        <v>2</v>
      </c>
      <c r="AF35" s="8">
        <f>IF(Data!AF35&lt;=QUARTILE(Data!AF$4:AF$195,1),1,IF(Data!AF35&lt;=MEDIAN(Data!AF$4:AF$195),2,IF(Data!AF35&lt;=QUARTILE(Data!AF$4:AF$195,3),3,4)))</f>
        <v>2</v>
      </c>
      <c r="AG35" s="8">
        <f>IF(Data!AG35&lt;=QUARTILE(Data!AG$4:AG$195,1),1,IF(Data!AG35&lt;=MEDIAN(Data!AG$4:AG$195),2,IF(Data!AG35&lt;=QUARTILE(Data!AG$4:AG$195,3),3,4)))</f>
        <v>1</v>
      </c>
      <c r="AH35" s="8">
        <f>IF(Data!AH35&lt;=QUARTILE(Data!AH$4:AH$195,1),1,IF(Data!AH35&lt;=MEDIAN(Data!AH$4:AH$195),2,IF(Data!AH35&lt;=QUARTILE(Data!AH$4:AH$195,3),3,4)))</f>
        <v>2</v>
      </c>
      <c r="AI35" s="6">
        <f>IF(Data!AI35&lt;=QUARTILE(Data!AI$4:AI$195,1),1,IF(Data!AI35&lt;=MEDIAN(Data!AI$4:AI$195),2,IF(Data!AI35&lt;=QUARTILE(Data!AI$4:AI$195,3),3,4)))</f>
        <v>2</v>
      </c>
      <c r="AJ35" s="7">
        <f>IF(Data!AJ35&lt;=QUARTILE(Data!AJ$4:AJ$195,1),1,IF(Data!AJ35&lt;=MEDIAN(Data!AJ$4:AJ$195),2,IF(Data!AJ35&lt;=QUARTILE(Data!AJ$4:AJ$195,3),3,4)))</f>
        <v>1</v>
      </c>
      <c r="AK35" s="6">
        <f>IF(Data!AK35&lt;=QUARTILE(Data!AK$4:AK$195,1),1,IF(Data!AK35&lt;=MEDIAN(Data!AK$4:AK$195),2,IF(Data!AK35&lt;=QUARTILE(Data!AK$4:AK$195,3),3,4)))</f>
        <v>2</v>
      </c>
      <c r="AL35" s="8">
        <f>IF(Data!AL35&lt;=QUARTILE(Data!AL$4:AL$195,1),1,IF(Data!AL35&lt;=MEDIAN(Data!AL$4:AL$195),2,IF(Data!AL35&lt;=QUARTILE(Data!AL$4:AL$195,3),3,4)))</f>
        <v>2</v>
      </c>
      <c r="AM35" s="8">
        <f>IF(Data!AM35&lt;=QUARTILE(Data!AM$4:AM$195,1),1,IF(Data!AM35&lt;=MEDIAN(Data!AM$4:AM$195),2,IF(Data!AM35&lt;=QUARTILE(Data!AM$4:AM$195,3),3,4)))</f>
        <v>3</v>
      </c>
      <c r="AN35" s="7">
        <f>IF(Data!AN35&lt;=QUARTILE(Data!AN$4:AN$195,1),1,IF(Data!AN35&lt;=MEDIAN(Data!AN$4:AN$195),2,IF(Data!AN35&lt;=QUARTILE(Data!AN$4:AN$195,3),3,4)))</f>
        <v>2</v>
      </c>
      <c r="AO35" s="6">
        <f>IF(Data!AO35&lt;=QUARTILE(Data!AO$4:AO$195,1),1,IF(Data!AO35&lt;=MEDIAN(Data!AO$4:AO$195),2,IF(Data!AO35&lt;=QUARTILE(Data!AO$4:AO$195,3),3,4)))</f>
        <v>2</v>
      </c>
      <c r="AP35" s="8">
        <f>IF(Data!AP35&lt;=QUARTILE(Data!AP$4:AP$195,1),1,IF(Data!AP35&lt;=MEDIAN(Data!AP$4:AP$195),2,IF(Data!AP35&lt;=QUARTILE(Data!AP$4:AP$195,3),3,4)))</f>
        <v>2</v>
      </c>
      <c r="AQ35" s="8">
        <f>IF(Data!AQ35&lt;=QUARTILE(Data!AQ$4:AQ$195,1),1,IF(Data!AQ35&lt;=MEDIAN(Data!AQ$4:AQ$195),2,IF(Data!AQ35&lt;=QUARTILE(Data!AQ$4:AQ$195,3),3,4)))</f>
        <v>2</v>
      </c>
      <c r="AR35" s="8">
        <f>IF(Data!AR35&lt;=QUARTILE(Data!AR$4:AR$195,1),1,IF(Data!AR35&lt;=MEDIAN(Data!AR$4:AR$195),2,IF(Data!AR35&lt;=QUARTILE(Data!AR$4:AR$195,3),3,4)))</f>
        <v>2</v>
      </c>
      <c r="AS35" s="8">
        <f>IF(Data!AS35&lt;=QUARTILE(Data!AS$4:AS$195,1),1,IF(Data!AS35&lt;=MEDIAN(Data!AS$4:AS$195),2,IF(Data!AS35&lt;=QUARTILE(Data!AS$4:AS$195,3),3,4)))</f>
        <v>3</v>
      </c>
      <c r="AT35" s="8">
        <f>IF(Data!AT35&lt;=QUARTILE(Data!AT$4:AT$195,1),1,IF(Data!AT35&lt;=MEDIAN(Data!AT$4:AT$195),2,IF(Data!AT35&lt;=QUARTILE(Data!AT$4:AT$195,3),3,4)))</f>
        <v>3</v>
      </c>
      <c r="AU35" s="7">
        <f>IF(Data!AU35&lt;=QUARTILE(Data!AU$4:AU$195,1),1,IF(Data!AU35&lt;=MEDIAN(Data!AU$4:AU$195),2,IF(Data!AU35&lt;=QUARTILE(Data!AU$4:AU$195,3),3,4)))</f>
        <v>3</v>
      </c>
      <c r="AV35" s="6">
        <f>IF(Data!AV35&lt;=QUARTILE(Data!AV$4:AV$195,1),1,IF(Data!AV35&lt;=MEDIAN(Data!AV$4:AV$195),2,IF(Data!AV35&lt;=QUARTILE(Data!AV$4:AV$195,3),3,4)))</f>
        <v>3</v>
      </c>
      <c r="AW35" s="8">
        <f>IF(Data!AW35&lt;=QUARTILE(Data!AW$4:AW$195,1),1,IF(Data!AW35&lt;=MEDIAN(Data!AW$4:AW$195),2,IF(Data!AW35&lt;=QUARTILE(Data!AW$4:AW$195,3),3,4)))</f>
        <v>2</v>
      </c>
      <c r="AX35" s="8">
        <f>IF(Data!AX35&lt;=QUARTILE(Data!AX$4:AX$195,1),1,IF(Data!AX35&lt;=MEDIAN(Data!AX$4:AX$195),2,IF(Data!AX35&lt;=QUARTILE(Data!AX$4:AX$195,3),3,4)))</f>
        <v>1</v>
      </c>
      <c r="AY35" s="8">
        <f>IF(Data!AY35&lt;=QUARTILE(Data!AY$4:AY$195,1),1,IF(Data!AY35&lt;=MEDIAN(Data!AY$4:AY$195),2,IF(Data!AY35&lt;=QUARTILE(Data!AY$4:AY$195,3),3,4)))</f>
        <v>2</v>
      </c>
      <c r="AZ35" s="6">
        <f>IF(Data!AZ35&lt;=QUARTILE(Data!AZ$4:AZ$195,1),1,IF(Data!AZ35&lt;=MEDIAN(Data!AZ$4:AZ$195),2,IF(Data!AZ35&lt;=QUARTILE(Data!AZ$4:AZ$195,3),3,4)))</f>
        <v>1</v>
      </c>
      <c r="BA35" s="7">
        <f>IF(Data!BA35&lt;=QUARTILE(Data!BA$4:BA$195,1),1,IF(Data!BA35&lt;=MEDIAN(Data!BA$4:BA$195),2,IF(Data!BA35&lt;=QUARTILE(Data!BA$4:BA$195,3),3,4)))</f>
        <v>1</v>
      </c>
    </row>
    <row r="36" spans="1:53" x14ac:dyDescent="0.25">
      <c r="A36" s="11" t="s">
        <v>31</v>
      </c>
      <c r="B36" s="39">
        <v>2008</v>
      </c>
      <c r="C36" s="12">
        <v>9</v>
      </c>
      <c r="D36" s="18">
        <v>7</v>
      </c>
      <c r="E36" s="73" t="s">
        <v>97</v>
      </c>
      <c r="F36" s="18">
        <v>-1.9</v>
      </c>
      <c r="G36" s="18">
        <v>4.0999999999999996</v>
      </c>
      <c r="H36" s="13">
        <v>-6</v>
      </c>
      <c r="I36" s="12">
        <f>IF(Data!I36&lt;=QUARTILE(Data!I$4:I$195,1),1,IF(Data!I36&lt;=MEDIAN(Data!I$4:I$195),2,IF(Data!I36&lt;=QUARTILE(Data!I$4:I$195,3),3,4)))</f>
        <v>4</v>
      </c>
      <c r="J36" s="18">
        <f>IF(Data!J36&lt;=QUARTILE(Data!J$4:J$195,1),1,IF(Data!J36&lt;=MEDIAN(Data!J$4:J$195),2,IF(Data!J36&lt;=QUARTILE(Data!J$4:J$195,3),3,4)))</f>
        <v>4</v>
      </c>
      <c r="K36" s="18">
        <f>IF(Data!K36&lt;=QUARTILE(Data!K$4:K$195,1),1,IF(Data!K36&lt;=MEDIAN(Data!K$4:K$195),2,IF(Data!K36&lt;=QUARTILE(Data!K$4:K$195,3),3,4)))</f>
        <v>2</v>
      </c>
      <c r="L36" s="13">
        <f>IF(Data!L36&lt;=QUARTILE(Data!L$4:L$195,1),1,IF(Data!L36&lt;=MEDIAN(Data!L$4:L$195),2,IF(Data!L36&lt;=QUARTILE(Data!L$4:L$195,3),3,4)))</f>
        <v>4</v>
      </c>
      <c r="M36" s="12">
        <f>IF(Data!M36&lt;=QUARTILE(Data!M$4:M$195,1),1,IF(Data!M36&lt;=MEDIAN(Data!M$4:M$195),2,IF(Data!M36&lt;=QUARTILE(Data!M$4:M$195,3),3,4)))</f>
        <v>4</v>
      </c>
      <c r="N36" s="18">
        <f>IF(Data!N36&lt;=QUARTILE(Data!N$4:N$195,1),1,IF(Data!N36&lt;=MEDIAN(Data!N$4:N$195),2,IF(Data!N36&lt;=QUARTILE(Data!N$4:N$195,3),3,4)))</f>
        <v>4</v>
      </c>
      <c r="O36" s="18">
        <f>IF(Data!O36&lt;=QUARTILE(Data!O$4:O$195,1),1,IF(Data!O36&lt;=MEDIAN(Data!O$4:O$195),2,IF(Data!O36&lt;=QUARTILE(Data!O$4:O$195,3),3,4)))</f>
        <v>4</v>
      </c>
      <c r="P36" s="18">
        <f>IF(Data!P36&lt;=QUARTILE(Data!P$4:P$195,1),1,IF(Data!P36&lt;=MEDIAN(Data!P$4:P$195),2,IF(Data!P36&lt;=QUARTILE(Data!P$4:P$195,3),3,4)))</f>
        <v>4</v>
      </c>
      <c r="Q36" s="18">
        <f>IF(Data!Q36&lt;=QUARTILE(Data!Q$4:Q$195,1),1,IF(Data!Q36&lt;=MEDIAN(Data!Q$4:Q$195),2,IF(Data!Q36&lt;=QUARTILE(Data!Q$4:Q$195,3),3,4)))</f>
        <v>4</v>
      </c>
      <c r="R36" s="18">
        <f>IF(Data!R36&lt;=QUARTILE(Data!R$4:R$195,1),1,IF(Data!R36&lt;=MEDIAN(Data!R$4:R$195),2,IF(Data!R36&lt;=QUARTILE(Data!R$4:R$195,3),3,4)))</f>
        <v>4</v>
      </c>
      <c r="S36" s="18">
        <f>IF(Data!S36&lt;=QUARTILE(Data!S$4:S$195,1),1,IF(Data!S36&lt;=MEDIAN(Data!S$4:S$195),2,IF(Data!S36&lt;=QUARTILE(Data!S$4:S$195,3),3,4)))</f>
        <v>1</v>
      </c>
      <c r="T36" s="13">
        <f>IF(Data!T36&lt;=QUARTILE(Data!T$4:T$195,1),1,IF(Data!T36&lt;=MEDIAN(Data!T$4:T$195),2,IF(Data!T36&lt;=QUARTILE(Data!T$4:T$195,3),3,4)))</f>
        <v>2</v>
      </c>
      <c r="U36" s="12">
        <f>IF(Data!U36&lt;=QUARTILE(Data!U$4:U$195,1),1,IF(Data!U36&lt;=MEDIAN(Data!U$4:U$195),2,IF(Data!U36&lt;=QUARTILE(Data!U$4:U$195,3),3,4)))</f>
        <v>1</v>
      </c>
      <c r="V36" s="18">
        <f>IF(Data!V36&lt;=QUARTILE(Data!V$4:V$195,1),1,IF(Data!V36&lt;=MEDIAN(Data!V$4:V$195),2,IF(Data!V36&lt;=QUARTILE(Data!V$4:V$195,3),3,4)))</f>
        <v>1</v>
      </c>
      <c r="W36" s="18">
        <f>IF(Data!W36&lt;=QUARTILE(Data!W$4:W$195,1),1,IF(Data!W36&lt;=MEDIAN(Data!W$4:W$195),2,IF(Data!W36&lt;=QUARTILE(Data!W$4:W$195,3),3,4)))</f>
        <v>3</v>
      </c>
      <c r="X36" s="13">
        <f>IF(Data!X36&lt;=QUARTILE(Data!X$4:X$195,1),1,IF(Data!X36&lt;=MEDIAN(Data!X$4:X$195),2,IF(Data!X36&lt;=QUARTILE(Data!X$4:X$195,3),3,4)))</f>
        <v>1</v>
      </c>
      <c r="Y36" s="12">
        <f>IF(Data!Y36&lt;=QUARTILE(Data!Y$4:Y$195,1),1,IF(Data!Y36&lt;=MEDIAN(Data!Y$4:Y$195),2,IF(Data!Y36&lt;=QUARTILE(Data!Y$4:Y$195,3),3,4)))</f>
        <v>2</v>
      </c>
      <c r="Z36" s="13">
        <f>IF(Data!Z36&lt;=QUARTILE(Data!Z$4:Z$195,1),1,IF(Data!Z36&lt;=MEDIAN(Data!Z$4:Z$195),2,IF(Data!Z36&lt;=QUARTILE(Data!Z$4:Z$195,3),3,4)))</f>
        <v>4</v>
      </c>
      <c r="AA36" s="12">
        <f>IF(Data!AA36&lt;=QUARTILE(Data!AA$4:AA$195,1),1,IF(Data!AA36&lt;=MEDIAN(Data!AA$4:AA$195),2,IF(Data!AA36&lt;=QUARTILE(Data!AA$4:AA$195,3),3,4)))</f>
        <v>2</v>
      </c>
      <c r="AB36" s="13">
        <f>IF(Data!AB36&lt;=QUARTILE(Data!AB$4:AB$195,1),1,IF(Data!AB36&lt;=MEDIAN(Data!AB$4:AB$195),2,IF(Data!AB36&lt;=QUARTILE(Data!AB$4:AB$195,3),3,4)))</f>
        <v>1</v>
      </c>
      <c r="AC36" s="12">
        <f>IF(Data!AC36&lt;=QUARTILE(Data!AC$4:AC$195,1),1,IF(Data!AC36&lt;=MEDIAN(Data!AC$4:AC$195),2,IF(Data!AC36&lt;=QUARTILE(Data!AC$4:AC$195,3),3,4)))</f>
        <v>4</v>
      </c>
      <c r="AD36" s="13">
        <f>IF(Data!AD36&lt;=QUARTILE(Data!AD$4:AD$195,1),1,IF(Data!AD36&lt;=MEDIAN(Data!AD$4:AD$195),2,IF(Data!AD36&lt;=QUARTILE(Data!AD$4:AD$195,3),3,4)))</f>
        <v>4</v>
      </c>
      <c r="AE36" s="11">
        <f>IF(Data!AE36&lt;=QUARTILE(Data!AE$4:AE$195,1),1,IF(Data!AE36&lt;=MEDIAN(Data!AE$4:AE$195),2,IF(Data!AE36&lt;=QUARTILE(Data!AE$4:AE$195,3),3,4)))</f>
        <v>3</v>
      </c>
      <c r="AF36" s="9">
        <f>IF(Data!AF36&lt;=QUARTILE(Data!AF$4:AF$195,1),1,IF(Data!AF36&lt;=MEDIAN(Data!AF$4:AF$195),2,IF(Data!AF36&lt;=QUARTILE(Data!AF$4:AF$195,3),3,4)))</f>
        <v>3</v>
      </c>
      <c r="AG36" s="9">
        <f>IF(Data!AG36&lt;=QUARTILE(Data!AG$4:AG$195,1),1,IF(Data!AG36&lt;=MEDIAN(Data!AG$4:AG$195),2,IF(Data!AG36&lt;=QUARTILE(Data!AG$4:AG$195,3),3,4)))</f>
        <v>1</v>
      </c>
      <c r="AH36" s="9">
        <f>IF(Data!AH36&lt;=QUARTILE(Data!AH$4:AH$195,1),1,IF(Data!AH36&lt;=MEDIAN(Data!AH$4:AH$195),2,IF(Data!AH36&lt;=QUARTILE(Data!AH$4:AH$195,3),3,4)))</f>
        <v>2</v>
      </c>
      <c r="AI36" s="12">
        <f>IF(Data!AI36&lt;=QUARTILE(Data!AI$4:AI$195,1),1,IF(Data!AI36&lt;=MEDIAN(Data!AI$4:AI$195),2,IF(Data!AI36&lt;=QUARTILE(Data!AI$4:AI$195,3),3,4)))</f>
        <v>1</v>
      </c>
      <c r="AJ36" s="13">
        <f>IF(Data!AJ36&lt;=QUARTILE(Data!AJ$4:AJ$195,1),1,IF(Data!AJ36&lt;=MEDIAN(Data!AJ$4:AJ$195),2,IF(Data!AJ36&lt;=QUARTILE(Data!AJ$4:AJ$195,3),3,4)))</f>
        <v>2</v>
      </c>
      <c r="AK36" s="12">
        <f>IF(Data!AK36&lt;=QUARTILE(Data!AK$4:AK$195,1),1,IF(Data!AK36&lt;=MEDIAN(Data!AK$4:AK$195),2,IF(Data!AK36&lt;=QUARTILE(Data!AK$4:AK$195,3),3,4)))</f>
        <v>4</v>
      </c>
      <c r="AL36" s="18">
        <f>IF(Data!AL36&lt;=QUARTILE(Data!AL$4:AL$195,1),1,IF(Data!AL36&lt;=MEDIAN(Data!AL$4:AL$195),2,IF(Data!AL36&lt;=QUARTILE(Data!AL$4:AL$195,3),3,4)))</f>
        <v>3</v>
      </c>
      <c r="AM36" s="18">
        <f>IF(Data!AM36&lt;=QUARTILE(Data!AM$4:AM$195,1),1,IF(Data!AM36&lt;=MEDIAN(Data!AM$4:AM$195),2,IF(Data!AM36&lt;=QUARTILE(Data!AM$4:AM$195,3),3,4)))</f>
        <v>2</v>
      </c>
      <c r="AN36" s="13">
        <f>IF(Data!AN36&lt;=QUARTILE(Data!AN$4:AN$195,1),1,IF(Data!AN36&lt;=MEDIAN(Data!AN$4:AN$195),2,IF(Data!AN36&lt;=QUARTILE(Data!AN$4:AN$195,3),3,4)))</f>
        <v>3</v>
      </c>
      <c r="AO36" s="12">
        <f>IF(Data!AO36&lt;=QUARTILE(Data!AO$4:AO$195,1),1,IF(Data!AO36&lt;=MEDIAN(Data!AO$4:AO$195),2,IF(Data!AO36&lt;=QUARTILE(Data!AO$4:AO$195,3),3,4)))</f>
        <v>3</v>
      </c>
      <c r="AP36" s="18">
        <f>IF(Data!AP36&lt;=QUARTILE(Data!AP$4:AP$195,1),1,IF(Data!AP36&lt;=MEDIAN(Data!AP$4:AP$195),2,IF(Data!AP36&lt;=QUARTILE(Data!AP$4:AP$195,3),3,4)))</f>
        <v>2</v>
      </c>
      <c r="AQ36" s="18">
        <f>IF(Data!AQ36&lt;=QUARTILE(Data!AQ$4:AQ$195,1),1,IF(Data!AQ36&lt;=MEDIAN(Data!AQ$4:AQ$195),2,IF(Data!AQ36&lt;=QUARTILE(Data!AQ$4:AQ$195,3),3,4)))</f>
        <v>3</v>
      </c>
      <c r="AR36" s="18">
        <f>IF(Data!AR36&lt;=QUARTILE(Data!AR$4:AR$195,1),1,IF(Data!AR36&lt;=MEDIAN(Data!AR$4:AR$195),2,IF(Data!AR36&lt;=QUARTILE(Data!AR$4:AR$195,3),3,4)))</f>
        <v>4</v>
      </c>
      <c r="AS36" s="18">
        <f>IF(Data!AS36&lt;=QUARTILE(Data!AS$4:AS$195,1),1,IF(Data!AS36&lt;=MEDIAN(Data!AS$4:AS$195),2,IF(Data!AS36&lt;=QUARTILE(Data!AS$4:AS$195,3),3,4)))</f>
        <v>2</v>
      </c>
      <c r="AT36" s="18">
        <f>IF(Data!AT36&lt;=QUARTILE(Data!AT$4:AT$195,1),1,IF(Data!AT36&lt;=MEDIAN(Data!AT$4:AT$195),2,IF(Data!AT36&lt;=QUARTILE(Data!AT$4:AT$195,3),3,4)))</f>
        <v>2</v>
      </c>
      <c r="AU36" s="13">
        <f>IF(Data!AU36&lt;=QUARTILE(Data!AU$4:AU$195,1),1,IF(Data!AU36&lt;=MEDIAN(Data!AU$4:AU$195),2,IF(Data!AU36&lt;=QUARTILE(Data!AU$4:AU$195,3),3,4)))</f>
        <v>2</v>
      </c>
      <c r="AV36" s="12">
        <f>IF(Data!AV36&lt;=QUARTILE(Data!AV$4:AV$195,1),1,IF(Data!AV36&lt;=MEDIAN(Data!AV$4:AV$195),2,IF(Data!AV36&lt;=QUARTILE(Data!AV$4:AV$195,3),3,4)))</f>
        <v>3</v>
      </c>
      <c r="AW36" s="18">
        <f>IF(Data!AW36&lt;=QUARTILE(Data!AW$4:AW$195,1),1,IF(Data!AW36&lt;=MEDIAN(Data!AW$4:AW$195),2,IF(Data!AW36&lt;=QUARTILE(Data!AW$4:AW$195,3),3,4)))</f>
        <v>2</v>
      </c>
      <c r="AX36" s="18">
        <f>IF(Data!AX36&lt;=QUARTILE(Data!AX$4:AX$195,1),1,IF(Data!AX36&lt;=MEDIAN(Data!AX$4:AX$195),2,IF(Data!AX36&lt;=QUARTILE(Data!AX$4:AX$195,3),3,4)))</f>
        <v>2</v>
      </c>
      <c r="AY36" s="13">
        <f>IF(Data!AY36&lt;=QUARTILE(Data!AY$4:AY$195,1),1,IF(Data!AY36&lt;=MEDIAN(Data!AY$4:AY$195),2,IF(Data!AY36&lt;=QUARTILE(Data!AY$4:AY$195,3),3,4)))</f>
        <v>4</v>
      </c>
      <c r="AZ36" s="12">
        <f>IF(Data!AZ36&lt;=QUARTILE(Data!AZ$4:AZ$195,1),1,IF(Data!AZ36&lt;=MEDIAN(Data!AZ$4:AZ$195),2,IF(Data!AZ36&lt;=QUARTILE(Data!AZ$4:AZ$195,3),3,4)))</f>
        <v>1</v>
      </c>
      <c r="BA36" s="13">
        <f>IF(Data!BA36&lt;=QUARTILE(Data!BA$4:BA$195,1),1,IF(Data!BA36&lt;=MEDIAN(Data!BA$4:BA$195),2,IF(Data!BA36&lt;=QUARTILE(Data!BA$4:BA$195,3),3,4)))</f>
        <v>4</v>
      </c>
    </row>
    <row r="37" spans="1:53" x14ac:dyDescent="0.25">
      <c r="A37" s="4" t="s">
        <v>28</v>
      </c>
      <c r="B37" s="40">
        <v>2008</v>
      </c>
      <c r="C37" s="14">
        <v>11</v>
      </c>
      <c r="D37" s="19">
        <v>5</v>
      </c>
      <c r="E37" s="74" t="s">
        <v>97</v>
      </c>
      <c r="F37" s="19">
        <v>3.8</v>
      </c>
      <c r="G37" s="19">
        <v>1.3</v>
      </c>
      <c r="H37" s="15">
        <v>2.5</v>
      </c>
      <c r="I37" s="14">
        <f>IF(Data!I37&lt;=QUARTILE(Data!I$4:I$195,1),1,IF(Data!I37&lt;=MEDIAN(Data!I$4:I$195),2,IF(Data!I37&lt;=QUARTILE(Data!I$4:I$195,3),3,4)))</f>
        <v>3</v>
      </c>
      <c r="J37" s="19">
        <f>IF(Data!J37&lt;=QUARTILE(Data!J$4:J$195,1),1,IF(Data!J37&lt;=MEDIAN(Data!J$4:J$195),2,IF(Data!J37&lt;=QUARTILE(Data!J$4:J$195,3),3,4)))</f>
        <v>4</v>
      </c>
      <c r="K37" s="19">
        <f>IF(Data!K37&lt;=QUARTILE(Data!K$4:K$195,1),1,IF(Data!K37&lt;=MEDIAN(Data!K$4:K$195),2,IF(Data!K37&lt;=QUARTILE(Data!K$4:K$195,3),3,4)))</f>
        <v>3</v>
      </c>
      <c r="L37" s="15">
        <f>IF(Data!L37&lt;=QUARTILE(Data!L$4:L$195,1),1,IF(Data!L37&lt;=MEDIAN(Data!L$4:L$195),2,IF(Data!L37&lt;=QUARTILE(Data!L$4:L$195,3),3,4)))</f>
        <v>3</v>
      </c>
      <c r="M37" s="14">
        <f>IF(Data!M37&lt;=QUARTILE(Data!M$4:M$195,1),1,IF(Data!M37&lt;=MEDIAN(Data!M$4:M$195),2,IF(Data!M37&lt;=QUARTILE(Data!M$4:M$195,3),3,4)))</f>
        <v>1</v>
      </c>
      <c r="N37" s="19">
        <f>IF(Data!N37&lt;=QUARTILE(Data!N$4:N$195,1),1,IF(Data!N37&lt;=MEDIAN(Data!N$4:N$195),2,IF(Data!N37&lt;=QUARTILE(Data!N$4:N$195,3),3,4)))</f>
        <v>1</v>
      </c>
      <c r="O37" s="19">
        <f>IF(Data!O37&lt;=QUARTILE(Data!O$4:O$195,1),1,IF(Data!O37&lt;=MEDIAN(Data!O$4:O$195),2,IF(Data!O37&lt;=QUARTILE(Data!O$4:O$195,3),3,4)))</f>
        <v>3</v>
      </c>
      <c r="P37" s="19">
        <f>IF(Data!P37&lt;=QUARTILE(Data!P$4:P$195,1),1,IF(Data!P37&lt;=MEDIAN(Data!P$4:P$195),2,IF(Data!P37&lt;=QUARTILE(Data!P$4:P$195,3),3,4)))</f>
        <v>1</v>
      </c>
      <c r="Q37" s="19">
        <f>IF(Data!Q37&lt;=QUARTILE(Data!Q$4:Q$195,1),1,IF(Data!Q37&lt;=MEDIAN(Data!Q$4:Q$195),2,IF(Data!Q37&lt;=QUARTILE(Data!Q$4:Q$195,3),3,4)))</f>
        <v>2</v>
      </c>
      <c r="R37" s="19">
        <f>IF(Data!R37&lt;=QUARTILE(Data!R$4:R$195,1),1,IF(Data!R37&lt;=MEDIAN(Data!R$4:R$195),2,IF(Data!R37&lt;=QUARTILE(Data!R$4:R$195,3),3,4)))</f>
        <v>3</v>
      </c>
      <c r="S37" s="19">
        <f>IF(Data!S37&lt;=QUARTILE(Data!S$4:S$195,1),1,IF(Data!S37&lt;=MEDIAN(Data!S$4:S$195),2,IF(Data!S37&lt;=QUARTILE(Data!S$4:S$195,3),3,4)))</f>
        <v>1</v>
      </c>
      <c r="T37" s="15">
        <f>IF(Data!T37&lt;=QUARTILE(Data!T$4:T$195,1),1,IF(Data!T37&lt;=MEDIAN(Data!T$4:T$195),2,IF(Data!T37&lt;=QUARTILE(Data!T$4:T$195,3),3,4)))</f>
        <v>1</v>
      </c>
      <c r="U37" s="14">
        <f>IF(Data!U37&lt;=QUARTILE(Data!U$4:U$195,1),1,IF(Data!U37&lt;=MEDIAN(Data!U$4:U$195),2,IF(Data!U37&lt;=QUARTILE(Data!U$4:U$195,3),3,4)))</f>
        <v>4</v>
      </c>
      <c r="V37" s="19">
        <f>IF(Data!V37&lt;=QUARTILE(Data!V$4:V$195,1),1,IF(Data!V37&lt;=MEDIAN(Data!V$4:V$195),2,IF(Data!V37&lt;=QUARTILE(Data!V$4:V$195,3),3,4)))</f>
        <v>4</v>
      </c>
      <c r="W37" s="19">
        <f>IF(Data!W37&lt;=QUARTILE(Data!W$4:W$195,1),1,IF(Data!W37&lt;=MEDIAN(Data!W$4:W$195),2,IF(Data!W37&lt;=QUARTILE(Data!W$4:W$195,3),3,4)))</f>
        <v>4</v>
      </c>
      <c r="X37" s="15">
        <f>IF(Data!X37&lt;=QUARTILE(Data!X$4:X$195,1),1,IF(Data!X37&lt;=MEDIAN(Data!X$4:X$195),2,IF(Data!X37&lt;=QUARTILE(Data!X$4:X$195,3),3,4)))</f>
        <v>4</v>
      </c>
      <c r="Y37" s="14">
        <f>IF(Data!Y37&lt;=QUARTILE(Data!Y$4:Y$195,1),1,IF(Data!Y37&lt;=MEDIAN(Data!Y$4:Y$195),2,IF(Data!Y37&lt;=QUARTILE(Data!Y$4:Y$195,3),3,4)))</f>
        <v>1</v>
      </c>
      <c r="Z37" s="15">
        <f>IF(Data!Z37&lt;=QUARTILE(Data!Z$4:Z$195,1),1,IF(Data!Z37&lt;=MEDIAN(Data!Z$4:Z$195),2,IF(Data!Z37&lt;=QUARTILE(Data!Z$4:Z$195,3),3,4)))</f>
        <v>4</v>
      </c>
      <c r="AA37" s="14">
        <f>IF(Data!AA37&lt;=QUARTILE(Data!AA$4:AA$195,1),1,IF(Data!AA37&lt;=MEDIAN(Data!AA$4:AA$195),2,IF(Data!AA37&lt;=QUARTILE(Data!AA$4:AA$195,3),3,4)))</f>
        <v>3</v>
      </c>
      <c r="AB37" s="15">
        <f>IF(Data!AB37&lt;=QUARTILE(Data!AB$4:AB$195,1),1,IF(Data!AB37&lt;=MEDIAN(Data!AB$4:AB$195),2,IF(Data!AB37&lt;=QUARTILE(Data!AB$4:AB$195,3),3,4)))</f>
        <v>3</v>
      </c>
      <c r="AC37" s="14">
        <f>IF(Data!AC37&lt;=QUARTILE(Data!AC$4:AC$195,1),1,IF(Data!AC37&lt;=MEDIAN(Data!AC$4:AC$195),2,IF(Data!AC37&lt;=QUARTILE(Data!AC$4:AC$195,3),3,4)))</f>
        <v>2</v>
      </c>
      <c r="AD37" s="15">
        <f>IF(Data!AD37&lt;=QUARTILE(Data!AD$4:AD$195,1),1,IF(Data!AD37&lt;=MEDIAN(Data!AD$4:AD$195),2,IF(Data!AD37&lt;=QUARTILE(Data!AD$4:AD$195,3),3,4)))</f>
        <v>2</v>
      </c>
      <c r="AE37" s="4">
        <f>IF(Data!AE37&lt;=QUARTILE(Data!AE$4:AE$195,1),1,IF(Data!AE37&lt;=MEDIAN(Data!AE$4:AE$195),2,IF(Data!AE37&lt;=QUARTILE(Data!AE$4:AE$195,3),3,4)))</f>
        <v>3</v>
      </c>
      <c r="AF37" s="3">
        <f>IF(Data!AF37&lt;=QUARTILE(Data!AF$4:AF$195,1),1,IF(Data!AF37&lt;=MEDIAN(Data!AF$4:AF$195),2,IF(Data!AF37&lt;=QUARTILE(Data!AF$4:AF$195,3),3,4)))</f>
        <v>3</v>
      </c>
      <c r="AG37" s="3">
        <f>IF(Data!AG37&lt;=QUARTILE(Data!AG$4:AG$195,1),1,IF(Data!AG37&lt;=MEDIAN(Data!AG$4:AG$195),2,IF(Data!AG37&lt;=QUARTILE(Data!AG$4:AG$195,3),3,4)))</f>
        <v>3</v>
      </c>
      <c r="AH37" s="3">
        <f>IF(Data!AH37&lt;=QUARTILE(Data!AH$4:AH$195,1),1,IF(Data!AH37&lt;=MEDIAN(Data!AH$4:AH$195),2,IF(Data!AH37&lt;=QUARTILE(Data!AH$4:AH$195,3),3,4)))</f>
        <v>4</v>
      </c>
      <c r="AI37" s="14">
        <f>IF(Data!AI37&lt;=QUARTILE(Data!AI$4:AI$195,1),1,IF(Data!AI37&lt;=MEDIAN(Data!AI$4:AI$195),2,IF(Data!AI37&lt;=QUARTILE(Data!AI$4:AI$195,3),3,4)))</f>
        <v>1</v>
      </c>
      <c r="AJ37" s="15">
        <f>IF(Data!AJ37&lt;=QUARTILE(Data!AJ$4:AJ$195,1),1,IF(Data!AJ37&lt;=MEDIAN(Data!AJ$4:AJ$195),2,IF(Data!AJ37&lt;=QUARTILE(Data!AJ$4:AJ$195,3),3,4)))</f>
        <v>2</v>
      </c>
      <c r="AK37" s="14">
        <f>IF(Data!AK37&lt;=QUARTILE(Data!AK$4:AK$195,1),1,IF(Data!AK37&lt;=MEDIAN(Data!AK$4:AK$195),2,IF(Data!AK37&lt;=QUARTILE(Data!AK$4:AK$195,3),3,4)))</f>
        <v>2</v>
      </c>
      <c r="AL37" s="19">
        <f>IF(Data!AL37&lt;=QUARTILE(Data!AL$4:AL$195,1),1,IF(Data!AL37&lt;=MEDIAN(Data!AL$4:AL$195),2,IF(Data!AL37&lt;=QUARTILE(Data!AL$4:AL$195,3),3,4)))</f>
        <v>4</v>
      </c>
      <c r="AM37" s="19">
        <f>IF(Data!AM37&lt;=QUARTILE(Data!AM$4:AM$195,1),1,IF(Data!AM37&lt;=MEDIAN(Data!AM$4:AM$195),2,IF(Data!AM37&lt;=QUARTILE(Data!AM$4:AM$195,3),3,4)))</f>
        <v>2</v>
      </c>
      <c r="AN37" s="15">
        <f>IF(Data!AN37&lt;=QUARTILE(Data!AN$4:AN$195,1),1,IF(Data!AN37&lt;=MEDIAN(Data!AN$4:AN$195),2,IF(Data!AN37&lt;=QUARTILE(Data!AN$4:AN$195,3),3,4)))</f>
        <v>3</v>
      </c>
      <c r="AO37" s="14">
        <f>IF(Data!AO37&lt;=QUARTILE(Data!AO$4:AO$195,1),1,IF(Data!AO37&lt;=MEDIAN(Data!AO$4:AO$195),2,IF(Data!AO37&lt;=QUARTILE(Data!AO$4:AO$195,3),3,4)))</f>
        <v>3</v>
      </c>
      <c r="AP37" s="19">
        <f>IF(Data!AP37&lt;=QUARTILE(Data!AP$4:AP$195,1),1,IF(Data!AP37&lt;=MEDIAN(Data!AP$4:AP$195),2,IF(Data!AP37&lt;=QUARTILE(Data!AP$4:AP$195,3),3,4)))</f>
        <v>4</v>
      </c>
      <c r="AQ37" s="19">
        <f>IF(Data!AQ37&lt;=QUARTILE(Data!AQ$4:AQ$195,1),1,IF(Data!AQ37&lt;=MEDIAN(Data!AQ$4:AQ$195),2,IF(Data!AQ37&lt;=QUARTILE(Data!AQ$4:AQ$195,3),3,4)))</f>
        <v>3</v>
      </c>
      <c r="AR37" s="19">
        <f>IF(Data!AR37&lt;=QUARTILE(Data!AR$4:AR$195,1),1,IF(Data!AR37&lt;=MEDIAN(Data!AR$4:AR$195),2,IF(Data!AR37&lt;=QUARTILE(Data!AR$4:AR$195,3),3,4)))</f>
        <v>2</v>
      </c>
      <c r="AS37" s="19">
        <f>IF(Data!AS37&lt;=QUARTILE(Data!AS$4:AS$195,1),1,IF(Data!AS37&lt;=MEDIAN(Data!AS$4:AS$195),2,IF(Data!AS37&lt;=QUARTILE(Data!AS$4:AS$195,3),3,4)))</f>
        <v>4</v>
      </c>
      <c r="AT37" s="19">
        <f>IF(Data!AT37&lt;=QUARTILE(Data!AT$4:AT$195,1),1,IF(Data!AT37&lt;=MEDIAN(Data!AT$4:AT$195),2,IF(Data!AT37&lt;=QUARTILE(Data!AT$4:AT$195,3),3,4)))</f>
        <v>2</v>
      </c>
      <c r="AU37" s="15">
        <f>IF(Data!AU37&lt;=QUARTILE(Data!AU$4:AU$195,1),1,IF(Data!AU37&lt;=MEDIAN(Data!AU$4:AU$195),2,IF(Data!AU37&lt;=QUARTILE(Data!AU$4:AU$195,3),3,4)))</f>
        <v>3</v>
      </c>
      <c r="AV37" s="14">
        <f>IF(Data!AV37&lt;=QUARTILE(Data!AV$4:AV$195,1),1,IF(Data!AV37&lt;=MEDIAN(Data!AV$4:AV$195),2,IF(Data!AV37&lt;=QUARTILE(Data!AV$4:AV$195,3),3,4)))</f>
        <v>2</v>
      </c>
      <c r="AW37" s="19">
        <f>IF(Data!AW37&lt;=QUARTILE(Data!AW$4:AW$195,1),1,IF(Data!AW37&lt;=MEDIAN(Data!AW$4:AW$195),2,IF(Data!AW37&lt;=QUARTILE(Data!AW$4:AW$195,3),3,4)))</f>
        <v>4</v>
      </c>
      <c r="AX37" s="19">
        <f>IF(Data!AX37&lt;=QUARTILE(Data!AX$4:AX$195,1),1,IF(Data!AX37&lt;=MEDIAN(Data!AX$4:AX$195),2,IF(Data!AX37&lt;=QUARTILE(Data!AX$4:AX$195,3),3,4)))</f>
        <v>4</v>
      </c>
      <c r="AY37" s="15">
        <f>IF(Data!AY37&lt;=QUARTILE(Data!AY$4:AY$195,1),1,IF(Data!AY37&lt;=MEDIAN(Data!AY$4:AY$195),2,IF(Data!AY37&lt;=QUARTILE(Data!AY$4:AY$195,3),3,4)))</f>
        <v>3</v>
      </c>
      <c r="AZ37" s="14">
        <f>IF(Data!AZ37&lt;=QUARTILE(Data!AZ$4:AZ$195,1),1,IF(Data!AZ37&lt;=MEDIAN(Data!AZ$4:AZ$195),2,IF(Data!AZ37&lt;=QUARTILE(Data!AZ$4:AZ$195,3),3,4)))</f>
        <v>1</v>
      </c>
      <c r="BA37" s="15">
        <f>IF(Data!BA37&lt;=QUARTILE(Data!BA$4:BA$195,1),1,IF(Data!BA37&lt;=MEDIAN(Data!BA$4:BA$195),2,IF(Data!BA37&lt;=QUARTILE(Data!BA$4:BA$195,3),3,4)))</f>
        <v>1</v>
      </c>
    </row>
    <row r="38" spans="1:53" x14ac:dyDescent="0.25">
      <c r="A38" s="4" t="s">
        <v>8</v>
      </c>
      <c r="B38" s="40">
        <v>2008</v>
      </c>
      <c r="C38" s="14">
        <v>11</v>
      </c>
      <c r="D38" s="19">
        <v>5</v>
      </c>
      <c r="E38" s="74" t="s">
        <v>97</v>
      </c>
      <c r="F38" s="19">
        <v>9.8000000000000007</v>
      </c>
      <c r="G38" s="19">
        <v>4.2</v>
      </c>
      <c r="H38" s="15">
        <v>5.6</v>
      </c>
      <c r="I38" s="14">
        <f>IF(Data!I38&lt;=QUARTILE(Data!I$4:I$195,1),1,IF(Data!I38&lt;=MEDIAN(Data!I$4:I$195),2,IF(Data!I38&lt;=QUARTILE(Data!I$4:I$195,3),3,4)))</f>
        <v>3</v>
      </c>
      <c r="J38" s="19">
        <f>IF(Data!J38&lt;=QUARTILE(Data!J$4:J$195,1),1,IF(Data!J38&lt;=MEDIAN(Data!J$4:J$195),2,IF(Data!J38&lt;=QUARTILE(Data!J$4:J$195,3),3,4)))</f>
        <v>2</v>
      </c>
      <c r="K38" s="19">
        <f>IF(Data!K38&lt;=QUARTILE(Data!K$4:K$195,1),1,IF(Data!K38&lt;=MEDIAN(Data!K$4:K$195),2,IF(Data!K38&lt;=QUARTILE(Data!K$4:K$195,3),3,4)))</f>
        <v>4</v>
      </c>
      <c r="L38" s="15">
        <f>IF(Data!L38&lt;=QUARTILE(Data!L$4:L$195,1),1,IF(Data!L38&lt;=MEDIAN(Data!L$4:L$195),2,IF(Data!L38&lt;=QUARTILE(Data!L$4:L$195,3),3,4)))</f>
        <v>3</v>
      </c>
      <c r="M38" s="14">
        <f>IF(Data!M38&lt;=QUARTILE(Data!M$4:M$195,1),1,IF(Data!M38&lt;=MEDIAN(Data!M$4:M$195),2,IF(Data!M38&lt;=QUARTILE(Data!M$4:M$195,3),3,4)))</f>
        <v>1</v>
      </c>
      <c r="N38" s="19">
        <f>IF(Data!N38&lt;=QUARTILE(Data!N$4:N$195,1),1,IF(Data!N38&lt;=MEDIAN(Data!N$4:N$195),2,IF(Data!N38&lt;=QUARTILE(Data!N$4:N$195,3),3,4)))</f>
        <v>1</v>
      </c>
      <c r="O38" s="19">
        <f>IF(Data!O38&lt;=QUARTILE(Data!O$4:O$195,1),1,IF(Data!O38&lt;=MEDIAN(Data!O$4:O$195),2,IF(Data!O38&lt;=QUARTILE(Data!O$4:O$195,3),3,4)))</f>
        <v>1</v>
      </c>
      <c r="P38" s="19">
        <f>IF(Data!P38&lt;=QUARTILE(Data!P$4:P$195,1),1,IF(Data!P38&lt;=MEDIAN(Data!P$4:P$195),2,IF(Data!P38&lt;=QUARTILE(Data!P$4:P$195,3),3,4)))</f>
        <v>1</v>
      </c>
      <c r="Q38" s="19">
        <f>IF(Data!Q38&lt;=QUARTILE(Data!Q$4:Q$195,1),1,IF(Data!Q38&lt;=MEDIAN(Data!Q$4:Q$195),2,IF(Data!Q38&lt;=QUARTILE(Data!Q$4:Q$195,3),3,4)))</f>
        <v>1</v>
      </c>
      <c r="R38" s="19">
        <f>IF(Data!R38&lt;=QUARTILE(Data!R$4:R$195,1),1,IF(Data!R38&lt;=MEDIAN(Data!R$4:R$195),2,IF(Data!R38&lt;=QUARTILE(Data!R$4:R$195,3),3,4)))</f>
        <v>3</v>
      </c>
      <c r="S38" s="19">
        <f>IF(Data!S38&lt;=QUARTILE(Data!S$4:S$195,1),1,IF(Data!S38&lt;=MEDIAN(Data!S$4:S$195),2,IF(Data!S38&lt;=QUARTILE(Data!S$4:S$195,3),3,4)))</f>
        <v>2</v>
      </c>
      <c r="T38" s="15">
        <f>IF(Data!T38&lt;=QUARTILE(Data!T$4:T$195,1),1,IF(Data!T38&lt;=MEDIAN(Data!T$4:T$195),2,IF(Data!T38&lt;=QUARTILE(Data!T$4:T$195,3),3,4)))</f>
        <v>3</v>
      </c>
      <c r="U38" s="14">
        <f>IF(Data!U38&lt;=QUARTILE(Data!U$4:U$195,1),1,IF(Data!U38&lt;=MEDIAN(Data!U$4:U$195),2,IF(Data!U38&lt;=QUARTILE(Data!U$4:U$195,3),3,4)))</f>
        <v>4</v>
      </c>
      <c r="V38" s="19">
        <f>IF(Data!V38&lt;=QUARTILE(Data!V$4:V$195,1),1,IF(Data!V38&lt;=MEDIAN(Data!V$4:V$195),2,IF(Data!V38&lt;=QUARTILE(Data!V$4:V$195,3),3,4)))</f>
        <v>4</v>
      </c>
      <c r="W38" s="19">
        <f>IF(Data!W38&lt;=QUARTILE(Data!W$4:W$195,1),1,IF(Data!W38&lt;=MEDIAN(Data!W$4:W$195),2,IF(Data!W38&lt;=QUARTILE(Data!W$4:W$195,3),3,4)))</f>
        <v>4</v>
      </c>
      <c r="X38" s="15">
        <f>IF(Data!X38&lt;=QUARTILE(Data!X$4:X$195,1),1,IF(Data!X38&lt;=MEDIAN(Data!X$4:X$195),2,IF(Data!X38&lt;=QUARTILE(Data!X$4:X$195,3),3,4)))</f>
        <v>4</v>
      </c>
      <c r="Y38" s="14">
        <f>IF(Data!Y38&lt;=QUARTILE(Data!Y$4:Y$195,1),1,IF(Data!Y38&lt;=MEDIAN(Data!Y$4:Y$195),2,IF(Data!Y38&lt;=QUARTILE(Data!Y$4:Y$195,3),3,4)))</f>
        <v>1</v>
      </c>
      <c r="Z38" s="15">
        <f>IF(Data!Z38&lt;=QUARTILE(Data!Z$4:Z$195,1),1,IF(Data!Z38&lt;=MEDIAN(Data!Z$4:Z$195),2,IF(Data!Z38&lt;=QUARTILE(Data!Z$4:Z$195,3),3,4)))</f>
        <v>4</v>
      </c>
      <c r="AA38" s="14">
        <f>IF(Data!AA38&lt;=QUARTILE(Data!AA$4:AA$195,1),1,IF(Data!AA38&lt;=MEDIAN(Data!AA$4:AA$195),2,IF(Data!AA38&lt;=QUARTILE(Data!AA$4:AA$195,3),3,4)))</f>
        <v>4</v>
      </c>
      <c r="AB38" s="15">
        <f>IF(Data!AB38&lt;=QUARTILE(Data!AB$4:AB$195,1),1,IF(Data!AB38&lt;=MEDIAN(Data!AB$4:AB$195),2,IF(Data!AB38&lt;=QUARTILE(Data!AB$4:AB$195,3),3,4)))</f>
        <v>3</v>
      </c>
      <c r="AC38" s="14">
        <f>IF(Data!AC38&lt;=QUARTILE(Data!AC$4:AC$195,1),1,IF(Data!AC38&lt;=MEDIAN(Data!AC$4:AC$195),2,IF(Data!AC38&lt;=QUARTILE(Data!AC$4:AC$195,3),3,4)))</f>
        <v>1</v>
      </c>
      <c r="AD38" s="15">
        <f>IF(Data!AD38&lt;=QUARTILE(Data!AD$4:AD$195,1),1,IF(Data!AD38&lt;=MEDIAN(Data!AD$4:AD$195),2,IF(Data!AD38&lt;=QUARTILE(Data!AD$4:AD$195,3),3,4)))</f>
        <v>1</v>
      </c>
      <c r="AE38" s="4">
        <f>IF(Data!AE38&lt;=QUARTILE(Data!AE$4:AE$195,1),1,IF(Data!AE38&lt;=MEDIAN(Data!AE$4:AE$195),2,IF(Data!AE38&lt;=QUARTILE(Data!AE$4:AE$195,3),3,4)))</f>
        <v>4</v>
      </c>
      <c r="AF38" s="3">
        <f>IF(Data!AF38&lt;=QUARTILE(Data!AF$4:AF$195,1),1,IF(Data!AF38&lt;=MEDIAN(Data!AF$4:AF$195),2,IF(Data!AF38&lt;=QUARTILE(Data!AF$4:AF$195,3),3,4)))</f>
        <v>4</v>
      </c>
      <c r="AG38" s="3">
        <f>IF(Data!AG38&lt;=QUARTILE(Data!AG$4:AG$195,1),1,IF(Data!AG38&lt;=MEDIAN(Data!AG$4:AG$195),2,IF(Data!AG38&lt;=QUARTILE(Data!AG$4:AG$195,3),3,4)))</f>
        <v>3</v>
      </c>
      <c r="AH38" s="3">
        <f>IF(Data!AH38&lt;=QUARTILE(Data!AH$4:AH$195,1),1,IF(Data!AH38&lt;=MEDIAN(Data!AH$4:AH$195),2,IF(Data!AH38&lt;=QUARTILE(Data!AH$4:AH$195,3),3,4)))</f>
        <v>1</v>
      </c>
      <c r="AI38" s="14">
        <f>IF(Data!AI38&lt;=QUARTILE(Data!AI$4:AI$195,1),1,IF(Data!AI38&lt;=MEDIAN(Data!AI$4:AI$195),2,IF(Data!AI38&lt;=QUARTILE(Data!AI$4:AI$195,3),3,4)))</f>
        <v>3</v>
      </c>
      <c r="AJ38" s="15">
        <f>IF(Data!AJ38&lt;=QUARTILE(Data!AJ$4:AJ$195,1),1,IF(Data!AJ38&lt;=MEDIAN(Data!AJ$4:AJ$195),2,IF(Data!AJ38&lt;=QUARTILE(Data!AJ$4:AJ$195,3),3,4)))</f>
        <v>4</v>
      </c>
      <c r="AK38" s="14">
        <f>IF(Data!AK38&lt;=QUARTILE(Data!AK$4:AK$195,1),1,IF(Data!AK38&lt;=MEDIAN(Data!AK$4:AK$195),2,IF(Data!AK38&lt;=QUARTILE(Data!AK$4:AK$195,3),3,4)))</f>
        <v>1</v>
      </c>
      <c r="AL38" s="19">
        <f>IF(Data!AL38&lt;=QUARTILE(Data!AL$4:AL$195,1),1,IF(Data!AL38&lt;=MEDIAN(Data!AL$4:AL$195),2,IF(Data!AL38&lt;=QUARTILE(Data!AL$4:AL$195,3),3,4)))</f>
        <v>1</v>
      </c>
      <c r="AM38" s="19">
        <f>IF(Data!AM38&lt;=QUARTILE(Data!AM$4:AM$195,1),1,IF(Data!AM38&lt;=MEDIAN(Data!AM$4:AM$195),2,IF(Data!AM38&lt;=QUARTILE(Data!AM$4:AM$195,3),3,4)))</f>
        <v>1</v>
      </c>
      <c r="AN38" s="15">
        <f>IF(Data!AN38&lt;=QUARTILE(Data!AN$4:AN$195,1),1,IF(Data!AN38&lt;=MEDIAN(Data!AN$4:AN$195),2,IF(Data!AN38&lt;=QUARTILE(Data!AN$4:AN$195,3),3,4)))</f>
        <v>1</v>
      </c>
      <c r="AO38" s="14">
        <f>IF(Data!AO38&lt;=QUARTILE(Data!AO$4:AO$195,1),1,IF(Data!AO38&lt;=MEDIAN(Data!AO$4:AO$195),2,IF(Data!AO38&lt;=QUARTILE(Data!AO$4:AO$195,3),3,4)))</f>
        <v>1</v>
      </c>
      <c r="AP38" s="19">
        <f>IF(Data!AP38&lt;=QUARTILE(Data!AP$4:AP$195,1),1,IF(Data!AP38&lt;=MEDIAN(Data!AP$4:AP$195),2,IF(Data!AP38&lt;=QUARTILE(Data!AP$4:AP$195,3),3,4)))</f>
        <v>3</v>
      </c>
      <c r="AQ38" s="19">
        <f>IF(Data!AQ38&lt;=QUARTILE(Data!AQ$4:AQ$195,1),1,IF(Data!AQ38&lt;=MEDIAN(Data!AQ$4:AQ$195),2,IF(Data!AQ38&lt;=QUARTILE(Data!AQ$4:AQ$195,3),3,4)))</f>
        <v>1</v>
      </c>
      <c r="AR38" s="19">
        <f>IF(Data!AR38&lt;=QUARTILE(Data!AR$4:AR$195,1),1,IF(Data!AR38&lt;=MEDIAN(Data!AR$4:AR$195),2,IF(Data!AR38&lt;=QUARTILE(Data!AR$4:AR$195,3),3,4)))</f>
        <v>1</v>
      </c>
      <c r="AS38" s="19">
        <f>IF(Data!AS38&lt;=QUARTILE(Data!AS$4:AS$195,1),1,IF(Data!AS38&lt;=MEDIAN(Data!AS$4:AS$195),2,IF(Data!AS38&lt;=QUARTILE(Data!AS$4:AS$195,3),3,4)))</f>
        <v>1</v>
      </c>
      <c r="AT38" s="19">
        <f>IF(Data!AT38&lt;=QUARTILE(Data!AT$4:AT$195,1),1,IF(Data!AT38&lt;=MEDIAN(Data!AT$4:AT$195),2,IF(Data!AT38&lt;=QUARTILE(Data!AT$4:AT$195,3),3,4)))</f>
        <v>2</v>
      </c>
      <c r="AU38" s="15">
        <f>IF(Data!AU38&lt;=QUARTILE(Data!AU$4:AU$195,1),1,IF(Data!AU38&lt;=MEDIAN(Data!AU$4:AU$195),2,IF(Data!AU38&lt;=QUARTILE(Data!AU$4:AU$195,3),3,4)))</f>
        <v>3</v>
      </c>
      <c r="AV38" s="14">
        <f>IF(Data!AV38&lt;=QUARTILE(Data!AV$4:AV$195,1),1,IF(Data!AV38&lt;=MEDIAN(Data!AV$4:AV$195),2,IF(Data!AV38&lt;=QUARTILE(Data!AV$4:AV$195,3),3,4)))</f>
        <v>1</v>
      </c>
      <c r="AW38" s="19">
        <f>IF(Data!AW38&lt;=QUARTILE(Data!AW$4:AW$195,1),1,IF(Data!AW38&lt;=MEDIAN(Data!AW$4:AW$195),2,IF(Data!AW38&lt;=QUARTILE(Data!AW$4:AW$195,3),3,4)))</f>
        <v>1</v>
      </c>
      <c r="AX38" s="19">
        <f>IF(Data!AX38&lt;=QUARTILE(Data!AX$4:AX$195,1),1,IF(Data!AX38&lt;=MEDIAN(Data!AX$4:AX$195),2,IF(Data!AX38&lt;=QUARTILE(Data!AX$4:AX$195,3),3,4)))</f>
        <v>1</v>
      </c>
      <c r="AY38" s="15">
        <f>IF(Data!AY38&lt;=QUARTILE(Data!AY$4:AY$195,1),1,IF(Data!AY38&lt;=MEDIAN(Data!AY$4:AY$195),2,IF(Data!AY38&lt;=QUARTILE(Data!AY$4:AY$195,3),3,4)))</f>
        <v>1</v>
      </c>
      <c r="AZ38" s="14">
        <f>IF(Data!AZ38&lt;=QUARTILE(Data!AZ$4:AZ$195,1),1,IF(Data!AZ38&lt;=MEDIAN(Data!AZ$4:AZ$195),2,IF(Data!AZ38&lt;=QUARTILE(Data!AZ$4:AZ$195,3),3,4)))</f>
        <v>4</v>
      </c>
      <c r="BA38" s="15">
        <f>IF(Data!BA38&lt;=QUARTILE(Data!BA$4:BA$195,1),1,IF(Data!BA38&lt;=MEDIAN(Data!BA$4:BA$195),2,IF(Data!BA38&lt;=QUARTILE(Data!BA$4:BA$195,3),3,4)))</f>
        <v>1</v>
      </c>
    </row>
    <row r="39" spans="1:53" x14ac:dyDescent="0.25">
      <c r="A39" s="4" t="s">
        <v>6</v>
      </c>
      <c r="B39" s="40">
        <v>2008</v>
      </c>
      <c r="C39" s="14">
        <v>7</v>
      </c>
      <c r="D39" s="19">
        <v>9</v>
      </c>
      <c r="E39" s="74" t="s">
        <v>96</v>
      </c>
      <c r="F39" s="19">
        <v>-3.3</v>
      </c>
      <c r="G39" s="19">
        <v>-2.8</v>
      </c>
      <c r="H39" s="15">
        <v>-0.6</v>
      </c>
      <c r="I39" s="14">
        <f>IF(Data!I39&lt;=QUARTILE(Data!I$4:I$195,1),1,IF(Data!I39&lt;=MEDIAN(Data!I$4:I$195),2,IF(Data!I39&lt;=QUARTILE(Data!I$4:I$195,3),3,4)))</f>
        <v>2</v>
      </c>
      <c r="J39" s="19">
        <f>IF(Data!J39&lt;=QUARTILE(Data!J$4:J$195,1),1,IF(Data!J39&lt;=MEDIAN(Data!J$4:J$195),2,IF(Data!J39&lt;=QUARTILE(Data!J$4:J$195,3),3,4)))</f>
        <v>2</v>
      </c>
      <c r="K39" s="19">
        <f>IF(Data!K39&lt;=QUARTILE(Data!K$4:K$195,1),1,IF(Data!K39&lt;=MEDIAN(Data!K$4:K$195),2,IF(Data!K39&lt;=QUARTILE(Data!K$4:K$195,3),3,4)))</f>
        <v>1</v>
      </c>
      <c r="L39" s="15">
        <f>IF(Data!L39&lt;=QUARTILE(Data!L$4:L$195,1),1,IF(Data!L39&lt;=MEDIAN(Data!L$4:L$195),2,IF(Data!L39&lt;=QUARTILE(Data!L$4:L$195,3),3,4)))</f>
        <v>2</v>
      </c>
      <c r="M39" s="14">
        <f>IF(Data!M39&lt;=QUARTILE(Data!M$4:M$195,1),1,IF(Data!M39&lt;=MEDIAN(Data!M$4:M$195),2,IF(Data!M39&lt;=QUARTILE(Data!M$4:M$195,3),3,4)))</f>
        <v>2</v>
      </c>
      <c r="N39" s="19">
        <f>IF(Data!N39&lt;=QUARTILE(Data!N$4:N$195,1),1,IF(Data!N39&lt;=MEDIAN(Data!N$4:N$195),2,IF(Data!N39&lt;=QUARTILE(Data!N$4:N$195,3),3,4)))</f>
        <v>2</v>
      </c>
      <c r="O39" s="19">
        <f>IF(Data!O39&lt;=QUARTILE(Data!O$4:O$195,1),1,IF(Data!O39&lt;=MEDIAN(Data!O$4:O$195),2,IF(Data!O39&lt;=QUARTILE(Data!O$4:O$195,3),3,4)))</f>
        <v>2</v>
      </c>
      <c r="P39" s="19">
        <f>IF(Data!P39&lt;=QUARTILE(Data!P$4:P$195,1),1,IF(Data!P39&lt;=MEDIAN(Data!P$4:P$195),2,IF(Data!P39&lt;=QUARTILE(Data!P$4:P$195,3),3,4)))</f>
        <v>1</v>
      </c>
      <c r="Q39" s="19">
        <f>IF(Data!Q39&lt;=QUARTILE(Data!Q$4:Q$195,1),1,IF(Data!Q39&lt;=MEDIAN(Data!Q$4:Q$195),2,IF(Data!Q39&lt;=QUARTILE(Data!Q$4:Q$195,3),3,4)))</f>
        <v>2</v>
      </c>
      <c r="R39" s="19">
        <f>IF(Data!R39&lt;=QUARTILE(Data!R$4:R$195,1),1,IF(Data!R39&lt;=MEDIAN(Data!R$4:R$195),2,IF(Data!R39&lt;=QUARTILE(Data!R$4:R$195,3),3,4)))</f>
        <v>2</v>
      </c>
      <c r="S39" s="19">
        <f>IF(Data!S39&lt;=QUARTILE(Data!S$4:S$195,1),1,IF(Data!S39&lt;=MEDIAN(Data!S$4:S$195),2,IF(Data!S39&lt;=QUARTILE(Data!S$4:S$195,3),3,4)))</f>
        <v>3</v>
      </c>
      <c r="T39" s="15">
        <f>IF(Data!T39&lt;=QUARTILE(Data!T$4:T$195,1),1,IF(Data!T39&lt;=MEDIAN(Data!T$4:T$195),2,IF(Data!T39&lt;=QUARTILE(Data!T$4:T$195,3),3,4)))</f>
        <v>3</v>
      </c>
      <c r="U39" s="14">
        <f>IF(Data!U39&lt;=QUARTILE(Data!U$4:U$195,1),1,IF(Data!U39&lt;=MEDIAN(Data!U$4:U$195),2,IF(Data!U39&lt;=QUARTILE(Data!U$4:U$195,3),3,4)))</f>
        <v>3</v>
      </c>
      <c r="V39" s="19">
        <f>IF(Data!V39&lt;=QUARTILE(Data!V$4:V$195,1),1,IF(Data!V39&lt;=MEDIAN(Data!V$4:V$195),2,IF(Data!V39&lt;=QUARTILE(Data!V$4:V$195,3),3,4)))</f>
        <v>3</v>
      </c>
      <c r="W39" s="19">
        <f>IF(Data!W39&lt;=QUARTILE(Data!W$4:W$195,1),1,IF(Data!W39&lt;=MEDIAN(Data!W$4:W$195),2,IF(Data!W39&lt;=QUARTILE(Data!W$4:W$195,3),3,4)))</f>
        <v>3</v>
      </c>
      <c r="X39" s="15">
        <f>IF(Data!X39&lt;=QUARTILE(Data!X$4:X$195,1),1,IF(Data!X39&lt;=MEDIAN(Data!X$4:X$195),2,IF(Data!X39&lt;=QUARTILE(Data!X$4:X$195,3),3,4)))</f>
        <v>3</v>
      </c>
      <c r="Y39" s="14">
        <f>IF(Data!Y39&lt;=QUARTILE(Data!Y$4:Y$195,1),1,IF(Data!Y39&lt;=MEDIAN(Data!Y$4:Y$195),2,IF(Data!Y39&lt;=QUARTILE(Data!Y$4:Y$195,3),3,4)))</f>
        <v>2</v>
      </c>
      <c r="Z39" s="15">
        <f>IF(Data!Z39&lt;=QUARTILE(Data!Z$4:Z$195,1),1,IF(Data!Z39&lt;=MEDIAN(Data!Z$4:Z$195),2,IF(Data!Z39&lt;=QUARTILE(Data!Z$4:Z$195,3),3,4)))</f>
        <v>4</v>
      </c>
      <c r="AA39" s="14">
        <f>IF(Data!AA39&lt;=QUARTILE(Data!AA$4:AA$195,1),1,IF(Data!AA39&lt;=MEDIAN(Data!AA$4:AA$195),2,IF(Data!AA39&lt;=QUARTILE(Data!AA$4:AA$195,3),3,4)))</f>
        <v>1</v>
      </c>
      <c r="AB39" s="15">
        <f>IF(Data!AB39&lt;=QUARTILE(Data!AB$4:AB$195,1),1,IF(Data!AB39&lt;=MEDIAN(Data!AB$4:AB$195),2,IF(Data!AB39&lt;=QUARTILE(Data!AB$4:AB$195,3),3,4)))</f>
        <v>4</v>
      </c>
      <c r="AC39" s="14">
        <f>IF(Data!AC39&lt;=QUARTILE(Data!AC$4:AC$195,1),1,IF(Data!AC39&lt;=MEDIAN(Data!AC$4:AC$195),2,IF(Data!AC39&lt;=QUARTILE(Data!AC$4:AC$195,3),3,4)))</f>
        <v>4</v>
      </c>
      <c r="AD39" s="15">
        <f>IF(Data!AD39&lt;=QUARTILE(Data!AD$4:AD$195,1),1,IF(Data!AD39&lt;=MEDIAN(Data!AD$4:AD$195),2,IF(Data!AD39&lt;=QUARTILE(Data!AD$4:AD$195,3),3,4)))</f>
        <v>4</v>
      </c>
      <c r="AE39" s="4">
        <f>IF(Data!AE39&lt;=QUARTILE(Data!AE$4:AE$195,1),1,IF(Data!AE39&lt;=MEDIAN(Data!AE$4:AE$195),2,IF(Data!AE39&lt;=QUARTILE(Data!AE$4:AE$195,3),3,4)))</f>
        <v>3</v>
      </c>
      <c r="AF39" s="3">
        <f>IF(Data!AF39&lt;=QUARTILE(Data!AF$4:AF$195,1),1,IF(Data!AF39&lt;=MEDIAN(Data!AF$4:AF$195),2,IF(Data!AF39&lt;=QUARTILE(Data!AF$4:AF$195,3),3,4)))</f>
        <v>3</v>
      </c>
      <c r="AG39" s="3">
        <f>IF(Data!AG39&lt;=QUARTILE(Data!AG$4:AG$195,1),1,IF(Data!AG39&lt;=MEDIAN(Data!AG$4:AG$195),2,IF(Data!AG39&lt;=QUARTILE(Data!AG$4:AG$195,3),3,4)))</f>
        <v>4</v>
      </c>
      <c r="AH39" s="3">
        <f>IF(Data!AH39&lt;=QUARTILE(Data!AH$4:AH$195,1),1,IF(Data!AH39&lt;=MEDIAN(Data!AH$4:AH$195),2,IF(Data!AH39&lt;=QUARTILE(Data!AH$4:AH$195,3),3,4)))</f>
        <v>4</v>
      </c>
      <c r="AI39" s="14">
        <f>IF(Data!AI39&lt;=QUARTILE(Data!AI$4:AI$195,1),1,IF(Data!AI39&lt;=MEDIAN(Data!AI$4:AI$195),2,IF(Data!AI39&lt;=QUARTILE(Data!AI$4:AI$195,3),3,4)))</f>
        <v>1</v>
      </c>
      <c r="AJ39" s="15">
        <f>IF(Data!AJ39&lt;=QUARTILE(Data!AJ$4:AJ$195,1),1,IF(Data!AJ39&lt;=MEDIAN(Data!AJ$4:AJ$195),2,IF(Data!AJ39&lt;=QUARTILE(Data!AJ$4:AJ$195,3),3,4)))</f>
        <v>2</v>
      </c>
      <c r="AK39" s="14">
        <f>IF(Data!AK39&lt;=QUARTILE(Data!AK$4:AK$195,1),1,IF(Data!AK39&lt;=MEDIAN(Data!AK$4:AK$195),2,IF(Data!AK39&lt;=QUARTILE(Data!AK$4:AK$195,3),3,4)))</f>
        <v>3</v>
      </c>
      <c r="AL39" s="19">
        <f>IF(Data!AL39&lt;=QUARTILE(Data!AL$4:AL$195,1),1,IF(Data!AL39&lt;=MEDIAN(Data!AL$4:AL$195),2,IF(Data!AL39&lt;=QUARTILE(Data!AL$4:AL$195,3),3,4)))</f>
        <v>2</v>
      </c>
      <c r="AM39" s="19">
        <f>IF(Data!AM39&lt;=QUARTILE(Data!AM$4:AM$195,1),1,IF(Data!AM39&lt;=MEDIAN(Data!AM$4:AM$195),2,IF(Data!AM39&lt;=QUARTILE(Data!AM$4:AM$195,3),3,4)))</f>
        <v>1</v>
      </c>
      <c r="AN39" s="15">
        <f>IF(Data!AN39&lt;=QUARTILE(Data!AN$4:AN$195,1),1,IF(Data!AN39&lt;=MEDIAN(Data!AN$4:AN$195),2,IF(Data!AN39&lt;=QUARTILE(Data!AN$4:AN$195,3),3,4)))</f>
        <v>2</v>
      </c>
      <c r="AO39" s="14">
        <f>IF(Data!AO39&lt;=QUARTILE(Data!AO$4:AO$195,1),1,IF(Data!AO39&lt;=MEDIAN(Data!AO$4:AO$195),2,IF(Data!AO39&lt;=QUARTILE(Data!AO$4:AO$195,3),3,4)))</f>
        <v>2</v>
      </c>
      <c r="AP39" s="19">
        <f>IF(Data!AP39&lt;=QUARTILE(Data!AP$4:AP$195,1),1,IF(Data!AP39&lt;=MEDIAN(Data!AP$4:AP$195),2,IF(Data!AP39&lt;=QUARTILE(Data!AP$4:AP$195,3),3,4)))</f>
        <v>1</v>
      </c>
      <c r="AQ39" s="19">
        <f>IF(Data!AQ39&lt;=QUARTILE(Data!AQ$4:AQ$195,1),1,IF(Data!AQ39&lt;=MEDIAN(Data!AQ$4:AQ$195),2,IF(Data!AQ39&lt;=QUARTILE(Data!AQ$4:AQ$195,3),3,4)))</f>
        <v>2</v>
      </c>
      <c r="AR39" s="19">
        <f>IF(Data!AR39&lt;=QUARTILE(Data!AR$4:AR$195,1),1,IF(Data!AR39&lt;=MEDIAN(Data!AR$4:AR$195),2,IF(Data!AR39&lt;=QUARTILE(Data!AR$4:AR$195,3),3,4)))</f>
        <v>1</v>
      </c>
      <c r="AS39" s="19">
        <f>IF(Data!AS39&lt;=QUARTILE(Data!AS$4:AS$195,1),1,IF(Data!AS39&lt;=MEDIAN(Data!AS$4:AS$195),2,IF(Data!AS39&lt;=QUARTILE(Data!AS$4:AS$195,3),3,4)))</f>
        <v>2</v>
      </c>
      <c r="AT39" s="19">
        <f>IF(Data!AT39&lt;=QUARTILE(Data!AT$4:AT$195,1),1,IF(Data!AT39&lt;=MEDIAN(Data!AT$4:AT$195),2,IF(Data!AT39&lt;=QUARTILE(Data!AT$4:AT$195,3),3,4)))</f>
        <v>1</v>
      </c>
      <c r="AU39" s="15">
        <f>IF(Data!AU39&lt;=QUARTILE(Data!AU$4:AU$195,1),1,IF(Data!AU39&lt;=MEDIAN(Data!AU$4:AU$195),2,IF(Data!AU39&lt;=QUARTILE(Data!AU$4:AU$195,3),3,4)))</f>
        <v>1</v>
      </c>
      <c r="AV39" s="14">
        <f>IF(Data!AV39&lt;=QUARTILE(Data!AV$4:AV$195,1),1,IF(Data!AV39&lt;=MEDIAN(Data!AV$4:AV$195),2,IF(Data!AV39&lt;=QUARTILE(Data!AV$4:AV$195,3),3,4)))</f>
        <v>3</v>
      </c>
      <c r="AW39" s="19">
        <f>IF(Data!AW39&lt;=QUARTILE(Data!AW$4:AW$195,1),1,IF(Data!AW39&lt;=MEDIAN(Data!AW$4:AW$195),2,IF(Data!AW39&lt;=QUARTILE(Data!AW$4:AW$195,3),3,4)))</f>
        <v>3</v>
      </c>
      <c r="AX39" s="19">
        <f>IF(Data!AX39&lt;=QUARTILE(Data!AX$4:AX$195,1),1,IF(Data!AX39&lt;=MEDIAN(Data!AX$4:AX$195),2,IF(Data!AX39&lt;=QUARTILE(Data!AX$4:AX$195,3),3,4)))</f>
        <v>4</v>
      </c>
      <c r="AY39" s="15">
        <f>IF(Data!AY39&lt;=QUARTILE(Data!AY$4:AY$195,1),1,IF(Data!AY39&lt;=MEDIAN(Data!AY$4:AY$195),2,IF(Data!AY39&lt;=QUARTILE(Data!AY$4:AY$195,3),3,4)))</f>
        <v>4</v>
      </c>
      <c r="AZ39" s="14">
        <f>IF(Data!AZ39&lt;=QUARTILE(Data!AZ$4:AZ$195,1),1,IF(Data!AZ39&lt;=MEDIAN(Data!AZ$4:AZ$195),2,IF(Data!AZ39&lt;=QUARTILE(Data!AZ$4:AZ$195,3),3,4)))</f>
        <v>1</v>
      </c>
      <c r="BA39" s="15">
        <f>IF(Data!BA39&lt;=QUARTILE(Data!BA$4:BA$195,1),1,IF(Data!BA39&lt;=MEDIAN(Data!BA$4:BA$195),2,IF(Data!BA39&lt;=QUARTILE(Data!BA$4:BA$195,3),3,4)))</f>
        <v>3</v>
      </c>
    </row>
    <row r="40" spans="1:53" x14ac:dyDescent="0.25">
      <c r="A40" s="4" t="s">
        <v>29</v>
      </c>
      <c r="B40" s="40">
        <v>2008</v>
      </c>
      <c r="C40" s="14">
        <v>12</v>
      </c>
      <c r="D40" s="19">
        <v>4</v>
      </c>
      <c r="E40" s="74" t="s">
        <v>97</v>
      </c>
      <c r="F40" s="19">
        <v>5.6</v>
      </c>
      <c r="G40" s="19">
        <v>2.8</v>
      </c>
      <c r="H40" s="15">
        <v>2.9</v>
      </c>
      <c r="I40" s="14">
        <f>IF(Data!I40&lt;=QUARTILE(Data!I$4:I$195,1),1,IF(Data!I40&lt;=MEDIAN(Data!I$4:I$195),2,IF(Data!I40&lt;=QUARTILE(Data!I$4:I$195,3),3,4)))</f>
        <v>4</v>
      </c>
      <c r="J40" s="19">
        <f>IF(Data!J40&lt;=QUARTILE(Data!J$4:J$195,1),1,IF(Data!J40&lt;=MEDIAN(Data!J$4:J$195),2,IF(Data!J40&lt;=QUARTILE(Data!J$4:J$195,3),3,4)))</f>
        <v>3</v>
      </c>
      <c r="K40" s="19">
        <f>IF(Data!K40&lt;=QUARTILE(Data!K$4:K$195,1),1,IF(Data!K40&lt;=MEDIAN(Data!K$4:K$195),2,IF(Data!K40&lt;=QUARTILE(Data!K$4:K$195,3),3,4)))</f>
        <v>1</v>
      </c>
      <c r="L40" s="15">
        <f>IF(Data!L40&lt;=QUARTILE(Data!L$4:L$195,1),1,IF(Data!L40&lt;=MEDIAN(Data!L$4:L$195),2,IF(Data!L40&lt;=QUARTILE(Data!L$4:L$195,3),3,4)))</f>
        <v>2</v>
      </c>
      <c r="M40" s="14">
        <f>IF(Data!M40&lt;=QUARTILE(Data!M$4:M$195,1),1,IF(Data!M40&lt;=MEDIAN(Data!M$4:M$195),2,IF(Data!M40&lt;=QUARTILE(Data!M$4:M$195,3),3,4)))</f>
        <v>1</v>
      </c>
      <c r="N40" s="19">
        <f>IF(Data!N40&lt;=QUARTILE(Data!N$4:N$195,1),1,IF(Data!N40&lt;=MEDIAN(Data!N$4:N$195),2,IF(Data!N40&lt;=QUARTILE(Data!N$4:N$195,3),3,4)))</f>
        <v>1</v>
      </c>
      <c r="O40" s="19">
        <f>IF(Data!O40&lt;=QUARTILE(Data!O$4:O$195,1),1,IF(Data!O40&lt;=MEDIAN(Data!O$4:O$195),2,IF(Data!O40&lt;=QUARTILE(Data!O$4:O$195,3),3,4)))</f>
        <v>2</v>
      </c>
      <c r="P40" s="19">
        <f>IF(Data!P40&lt;=QUARTILE(Data!P$4:P$195,1),1,IF(Data!P40&lt;=MEDIAN(Data!P$4:P$195),2,IF(Data!P40&lt;=QUARTILE(Data!P$4:P$195,3),3,4)))</f>
        <v>1</v>
      </c>
      <c r="Q40" s="19">
        <f>IF(Data!Q40&lt;=QUARTILE(Data!Q$4:Q$195,1),1,IF(Data!Q40&lt;=MEDIAN(Data!Q$4:Q$195),2,IF(Data!Q40&lt;=QUARTILE(Data!Q$4:Q$195,3),3,4)))</f>
        <v>1</v>
      </c>
      <c r="R40" s="19">
        <f>IF(Data!R40&lt;=QUARTILE(Data!R$4:R$195,1),1,IF(Data!R40&lt;=MEDIAN(Data!R$4:R$195),2,IF(Data!R40&lt;=QUARTILE(Data!R$4:R$195,3),3,4)))</f>
        <v>3</v>
      </c>
      <c r="S40" s="19">
        <f>IF(Data!S40&lt;=QUARTILE(Data!S$4:S$195,1),1,IF(Data!S40&lt;=MEDIAN(Data!S$4:S$195),2,IF(Data!S40&lt;=QUARTILE(Data!S$4:S$195,3),3,4)))</f>
        <v>1</v>
      </c>
      <c r="T40" s="15">
        <f>IF(Data!T40&lt;=QUARTILE(Data!T$4:T$195,1),1,IF(Data!T40&lt;=MEDIAN(Data!T$4:T$195),2,IF(Data!T40&lt;=QUARTILE(Data!T$4:T$195,3),3,4)))</f>
        <v>1</v>
      </c>
      <c r="U40" s="14">
        <f>IF(Data!U40&lt;=QUARTILE(Data!U$4:U$195,1),1,IF(Data!U40&lt;=MEDIAN(Data!U$4:U$195),2,IF(Data!U40&lt;=QUARTILE(Data!U$4:U$195,3),3,4)))</f>
        <v>4</v>
      </c>
      <c r="V40" s="19">
        <f>IF(Data!V40&lt;=QUARTILE(Data!V$4:V$195,1),1,IF(Data!V40&lt;=MEDIAN(Data!V$4:V$195),2,IF(Data!V40&lt;=QUARTILE(Data!V$4:V$195,3),3,4)))</f>
        <v>4</v>
      </c>
      <c r="W40" s="19">
        <f>IF(Data!W40&lt;=QUARTILE(Data!W$4:W$195,1),1,IF(Data!W40&lt;=MEDIAN(Data!W$4:W$195),2,IF(Data!W40&lt;=QUARTILE(Data!W$4:W$195,3),3,4)))</f>
        <v>4</v>
      </c>
      <c r="X40" s="15">
        <f>IF(Data!X40&lt;=QUARTILE(Data!X$4:X$195,1),1,IF(Data!X40&lt;=MEDIAN(Data!X$4:X$195),2,IF(Data!X40&lt;=QUARTILE(Data!X$4:X$195,3),3,4)))</f>
        <v>4</v>
      </c>
      <c r="Y40" s="14">
        <f>IF(Data!Y40&lt;=QUARTILE(Data!Y$4:Y$195,1),1,IF(Data!Y40&lt;=MEDIAN(Data!Y$4:Y$195),2,IF(Data!Y40&lt;=QUARTILE(Data!Y$4:Y$195,3),3,4)))</f>
        <v>1</v>
      </c>
      <c r="Z40" s="15">
        <f>IF(Data!Z40&lt;=QUARTILE(Data!Z$4:Z$195,1),1,IF(Data!Z40&lt;=MEDIAN(Data!Z$4:Z$195),2,IF(Data!Z40&lt;=QUARTILE(Data!Z$4:Z$195,3),3,4)))</f>
        <v>2</v>
      </c>
      <c r="AA40" s="14">
        <f>IF(Data!AA40&lt;=QUARTILE(Data!AA$4:AA$195,1),1,IF(Data!AA40&lt;=MEDIAN(Data!AA$4:AA$195),2,IF(Data!AA40&lt;=QUARTILE(Data!AA$4:AA$195,3),3,4)))</f>
        <v>3</v>
      </c>
      <c r="AB40" s="15">
        <f>IF(Data!AB40&lt;=QUARTILE(Data!AB$4:AB$195,1),1,IF(Data!AB40&lt;=MEDIAN(Data!AB$4:AB$195),2,IF(Data!AB40&lt;=QUARTILE(Data!AB$4:AB$195,3),3,4)))</f>
        <v>4</v>
      </c>
      <c r="AC40" s="14">
        <f>IF(Data!AC40&lt;=QUARTILE(Data!AC$4:AC$195,1),1,IF(Data!AC40&lt;=MEDIAN(Data!AC$4:AC$195),2,IF(Data!AC40&lt;=QUARTILE(Data!AC$4:AC$195,3),3,4)))</f>
        <v>2</v>
      </c>
      <c r="AD40" s="15">
        <f>IF(Data!AD40&lt;=QUARTILE(Data!AD$4:AD$195,1),1,IF(Data!AD40&lt;=MEDIAN(Data!AD$4:AD$195),2,IF(Data!AD40&lt;=QUARTILE(Data!AD$4:AD$195,3),3,4)))</f>
        <v>2</v>
      </c>
      <c r="AE40" s="4">
        <f>IF(Data!AE40&lt;=QUARTILE(Data!AE$4:AE$195,1),1,IF(Data!AE40&lt;=MEDIAN(Data!AE$4:AE$195),2,IF(Data!AE40&lt;=QUARTILE(Data!AE$4:AE$195,3),3,4)))</f>
        <v>2</v>
      </c>
      <c r="AF40" s="3">
        <f>IF(Data!AF40&lt;=QUARTILE(Data!AF$4:AF$195,1),1,IF(Data!AF40&lt;=MEDIAN(Data!AF$4:AF$195),2,IF(Data!AF40&lt;=QUARTILE(Data!AF$4:AF$195,3),3,4)))</f>
        <v>2</v>
      </c>
      <c r="AG40" s="3">
        <f>IF(Data!AG40&lt;=QUARTILE(Data!AG$4:AG$195,1),1,IF(Data!AG40&lt;=MEDIAN(Data!AG$4:AG$195),2,IF(Data!AG40&lt;=QUARTILE(Data!AG$4:AG$195,3),3,4)))</f>
        <v>4</v>
      </c>
      <c r="AH40" s="3">
        <f>IF(Data!AH40&lt;=QUARTILE(Data!AH$4:AH$195,1),1,IF(Data!AH40&lt;=MEDIAN(Data!AH$4:AH$195),2,IF(Data!AH40&lt;=QUARTILE(Data!AH$4:AH$195,3),3,4)))</f>
        <v>4</v>
      </c>
      <c r="AI40" s="14">
        <f>IF(Data!AI40&lt;=QUARTILE(Data!AI$4:AI$195,1),1,IF(Data!AI40&lt;=MEDIAN(Data!AI$4:AI$195),2,IF(Data!AI40&lt;=QUARTILE(Data!AI$4:AI$195,3),3,4)))</f>
        <v>2</v>
      </c>
      <c r="AJ40" s="15">
        <f>IF(Data!AJ40&lt;=QUARTILE(Data!AJ$4:AJ$195,1),1,IF(Data!AJ40&lt;=MEDIAN(Data!AJ$4:AJ$195),2,IF(Data!AJ40&lt;=QUARTILE(Data!AJ$4:AJ$195,3),3,4)))</f>
        <v>3</v>
      </c>
      <c r="AK40" s="14">
        <f>IF(Data!AK40&lt;=QUARTILE(Data!AK$4:AK$195,1),1,IF(Data!AK40&lt;=MEDIAN(Data!AK$4:AK$195),2,IF(Data!AK40&lt;=QUARTILE(Data!AK$4:AK$195,3),3,4)))</f>
        <v>2</v>
      </c>
      <c r="AL40" s="19">
        <f>IF(Data!AL40&lt;=QUARTILE(Data!AL$4:AL$195,1),1,IF(Data!AL40&lt;=MEDIAN(Data!AL$4:AL$195),2,IF(Data!AL40&lt;=QUARTILE(Data!AL$4:AL$195,3),3,4)))</f>
        <v>3</v>
      </c>
      <c r="AM40" s="19">
        <f>IF(Data!AM40&lt;=QUARTILE(Data!AM$4:AM$195,1),1,IF(Data!AM40&lt;=MEDIAN(Data!AM$4:AM$195),2,IF(Data!AM40&lt;=QUARTILE(Data!AM$4:AM$195,3),3,4)))</f>
        <v>3</v>
      </c>
      <c r="AN40" s="15">
        <f>IF(Data!AN40&lt;=QUARTILE(Data!AN$4:AN$195,1),1,IF(Data!AN40&lt;=MEDIAN(Data!AN$4:AN$195),2,IF(Data!AN40&lt;=QUARTILE(Data!AN$4:AN$195,3),3,4)))</f>
        <v>2</v>
      </c>
      <c r="AO40" s="14">
        <f>IF(Data!AO40&lt;=QUARTILE(Data!AO$4:AO$195,1),1,IF(Data!AO40&lt;=MEDIAN(Data!AO$4:AO$195),2,IF(Data!AO40&lt;=QUARTILE(Data!AO$4:AO$195,3),3,4)))</f>
        <v>3</v>
      </c>
      <c r="AP40" s="19">
        <f>IF(Data!AP40&lt;=QUARTILE(Data!AP$4:AP$195,1),1,IF(Data!AP40&lt;=MEDIAN(Data!AP$4:AP$195),2,IF(Data!AP40&lt;=QUARTILE(Data!AP$4:AP$195,3),3,4)))</f>
        <v>4</v>
      </c>
      <c r="AQ40" s="19">
        <f>IF(Data!AQ40&lt;=QUARTILE(Data!AQ$4:AQ$195,1),1,IF(Data!AQ40&lt;=MEDIAN(Data!AQ$4:AQ$195),2,IF(Data!AQ40&lt;=QUARTILE(Data!AQ$4:AQ$195,3),3,4)))</f>
        <v>3</v>
      </c>
      <c r="AR40" s="19">
        <f>IF(Data!AR40&lt;=QUARTILE(Data!AR$4:AR$195,1),1,IF(Data!AR40&lt;=MEDIAN(Data!AR$4:AR$195),2,IF(Data!AR40&lt;=QUARTILE(Data!AR$4:AR$195,3),3,4)))</f>
        <v>2</v>
      </c>
      <c r="AS40" s="19">
        <f>IF(Data!AS40&lt;=QUARTILE(Data!AS$4:AS$195,1),1,IF(Data!AS40&lt;=MEDIAN(Data!AS$4:AS$195),2,IF(Data!AS40&lt;=QUARTILE(Data!AS$4:AS$195,3),3,4)))</f>
        <v>3</v>
      </c>
      <c r="AT40" s="19">
        <f>IF(Data!AT40&lt;=QUARTILE(Data!AT$4:AT$195,1),1,IF(Data!AT40&lt;=MEDIAN(Data!AT$4:AT$195),2,IF(Data!AT40&lt;=QUARTILE(Data!AT$4:AT$195,3),3,4)))</f>
        <v>3</v>
      </c>
      <c r="AU40" s="15">
        <f>IF(Data!AU40&lt;=QUARTILE(Data!AU$4:AU$195,1),1,IF(Data!AU40&lt;=MEDIAN(Data!AU$4:AU$195),2,IF(Data!AU40&lt;=QUARTILE(Data!AU$4:AU$195,3),3,4)))</f>
        <v>3</v>
      </c>
      <c r="AV40" s="14">
        <f>IF(Data!AV40&lt;=QUARTILE(Data!AV$4:AV$195,1),1,IF(Data!AV40&lt;=MEDIAN(Data!AV$4:AV$195),2,IF(Data!AV40&lt;=QUARTILE(Data!AV$4:AV$195,3),3,4)))</f>
        <v>2</v>
      </c>
      <c r="AW40" s="19">
        <f>IF(Data!AW40&lt;=QUARTILE(Data!AW$4:AW$195,1),1,IF(Data!AW40&lt;=MEDIAN(Data!AW$4:AW$195),2,IF(Data!AW40&lt;=QUARTILE(Data!AW$4:AW$195,3),3,4)))</f>
        <v>3</v>
      </c>
      <c r="AX40" s="19">
        <f>IF(Data!AX40&lt;=QUARTILE(Data!AX$4:AX$195,1),1,IF(Data!AX40&lt;=MEDIAN(Data!AX$4:AX$195),2,IF(Data!AX40&lt;=QUARTILE(Data!AX$4:AX$195,3),3,4)))</f>
        <v>3</v>
      </c>
      <c r="AY40" s="15">
        <f>IF(Data!AY40&lt;=QUARTILE(Data!AY$4:AY$195,1),1,IF(Data!AY40&lt;=MEDIAN(Data!AY$4:AY$195),2,IF(Data!AY40&lt;=QUARTILE(Data!AY$4:AY$195,3),3,4)))</f>
        <v>3</v>
      </c>
      <c r="AZ40" s="14">
        <f>IF(Data!AZ40&lt;=QUARTILE(Data!AZ$4:AZ$195,1),1,IF(Data!AZ40&lt;=MEDIAN(Data!AZ$4:AZ$195),2,IF(Data!AZ40&lt;=QUARTILE(Data!AZ$4:AZ$195,3),3,4)))</f>
        <v>1</v>
      </c>
      <c r="BA40" s="15">
        <f>IF(Data!BA40&lt;=QUARTILE(Data!BA$4:BA$195,1),1,IF(Data!BA40&lt;=MEDIAN(Data!BA$4:BA$195),2,IF(Data!BA40&lt;=QUARTILE(Data!BA$4:BA$195,3),3,4)))</f>
        <v>3</v>
      </c>
    </row>
    <row r="41" spans="1:53" x14ac:dyDescent="0.25">
      <c r="A41" s="4" t="s">
        <v>25</v>
      </c>
      <c r="B41" s="40">
        <v>2008</v>
      </c>
      <c r="C41" s="14">
        <v>9</v>
      </c>
      <c r="D41" s="19">
        <v>7</v>
      </c>
      <c r="E41" s="74" t="s">
        <v>96</v>
      </c>
      <c r="F41" s="19">
        <v>2.1</v>
      </c>
      <c r="G41" s="19">
        <v>1.1000000000000001</v>
      </c>
      <c r="H41" s="15">
        <v>1</v>
      </c>
      <c r="I41" s="14">
        <f>IF(Data!I41&lt;=QUARTILE(Data!I$4:I$195,1),1,IF(Data!I41&lt;=MEDIAN(Data!I$4:I$195),2,IF(Data!I41&lt;=QUARTILE(Data!I$4:I$195,3),3,4)))</f>
        <v>3</v>
      </c>
      <c r="J41" s="19">
        <f>IF(Data!J41&lt;=QUARTILE(Data!J$4:J$195,1),1,IF(Data!J41&lt;=MEDIAN(Data!J$4:J$195),2,IF(Data!J41&lt;=QUARTILE(Data!J$4:J$195,3),3,4)))</f>
        <v>1</v>
      </c>
      <c r="K41" s="19">
        <f>IF(Data!K41&lt;=QUARTILE(Data!K$4:K$195,1),1,IF(Data!K41&lt;=MEDIAN(Data!K$4:K$195),2,IF(Data!K41&lt;=QUARTILE(Data!K$4:K$195,3),3,4)))</f>
        <v>2</v>
      </c>
      <c r="L41" s="15">
        <f>IF(Data!L41&lt;=QUARTILE(Data!L$4:L$195,1),1,IF(Data!L41&lt;=MEDIAN(Data!L$4:L$195),2,IF(Data!L41&lt;=QUARTILE(Data!L$4:L$195,3),3,4)))</f>
        <v>1</v>
      </c>
      <c r="M41" s="14">
        <f>IF(Data!M41&lt;=QUARTILE(Data!M$4:M$195,1),1,IF(Data!M41&lt;=MEDIAN(Data!M$4:M$195),2,IF(Data!M41&lt;=QUARTILE(Data!M$4:M$195,3),3,4)))</f>
        <v>2</v>
      </c>
      <c r="N41" s="19">
        <f>IF(Data!N41&lt;=QUARTILE(Data!N$4:N$195,1),1,IF(Data!N41&lt;=MEDIAN(Data!N$4:N$195),2,IF(Data!N41&lt;=QUARTILE(Data!N$4:N$195,3),3,4)))</f>
        <v>3</v>
      </c>
      <c r="O41" s="19">
        <f>IF(Data!O41&lt;=QUARTILE(Data!O$4:O$195,1),1,IF(Data!O41&lt;=MEDIAN(Data!O$4:O$195),2,IF(Data!O41&lt;=QUARTILE(Data!O$4:O$195,3),3,4)))</f>
        <v>2</v>
      </c>
      <c r="P41" s="19">
        <f>IF(Data!P41&lt;=QUARTILE(Data!P$4:P$195,1),1,IF(Data!P41&lt;=MEDIAN(Data!P$4:P$195),2,IF(Data!P41&lt;=QUARTILE(Data!P$4:P$195,3),3,4)))</f>
        <v>2</v>
      </c>
      <c r="Q41" s="19">
        <f>IF(Data!Q41&lt;=QUARTILE(Data!Q$4:Q$195,1),1,IF(Data!Q41&lt;=MEDIAN(Data!Q$4:Q$195),2,IF(Data!Q41&lt;=QUARTILE(Data!Q$4:Q$195,3),3,4)))</f>
        <v>2</v>
      </c>
      <c r="R41" s="19">
        <f>IF(Data!R41&lt;=QUARTILE(Data!R$4:R$195,1),1,IF(Data!R41&lt;=MEDIAN(Data!R$4:R$195),2,IF(Data!R41&lt;=QUARTILE(Data!R$4:R$195,3),3,4)))</f>
        <v>2</v>
      </c>
      <c r="S41" s="19">
        <f>IF(Data!S41&lt;=QUARTILE(Data!S$4:S$195,1),1,IF(Data!S41&lt;=MEDIAN(Data!S$4:S$195),2,IF(Data!S41&lt;=QUARTILE(Data!S$4:S$195,3),3,4)))</f>
        <v>2</v>
      </c>
      <c r="T41" s="15">
        <f>IF(Data!T41&lt;=QUARTILE(Data!T$4:T$195,1),1,IF(Data!T41&lt;=MEDIAN(Data!T$4:T$195),2,IF(Data!T41&lt;=QUARTILE(Data!T$4:T$195,3),3,4)))</f>
        <v>1</v>
      </c>
      <c r="U41" s="14">
        <f>IF(Data!U41&lt;=QUARTILE(Data!U$4:U$195,1),1,IF(Data!U41&lt;=MEDIAN(Data!U$4:U$195),2,IF(Data!U41&lt;=QUARTILE(Data!U$4:U$195,3),3,4)))</f>
        <v>2</v>
      </c>
      <c r="V41" s="19">
        <f>IF(Data!V41&lt;=QUARTILE(Data!V$4:V$195,1),1,IF(Data!V41&lt;=MEDIAN(Data!V$4:V$195),2,IF(Data!V41&lt;=QUARTILE(Data!V$4:V$195,3),3,4)))</f>
        <v>2</v>
      </c>
      <c r="W41" s="19">
        <f>IF(Data!W41&lt;=QUARTILE(Data!W$4:W$195,1),1,IF(Data!W41&lt;=MEDIAN(Data!W$4:W$195),2,IF(Data!W41&lt;=QUARTILE(Data!W$4:W$195,3),3,4)))</f>
        <v>3</v>
      </c>
      <c r="X41" s="15">
        <f>IF(Data!X41&lt;=QUARTILE(Data!X$4:X$195,1),1,IF(Data!X41&lt;=MEDIAN(Data!X$4:X$195),2,IF(Data!X41&lt;=QUARTILE(Data!X$4:X$195,3),3,4)))</f>
        <v>3</v>
      </c>
      <c r="Y41" s="14">
        <f>IF(Data!Y41&lt;=QUARTILE(Data!Y$4:Y$195,1),1,IF(Data!Y41&lt;=MEDIAN(Data!Y$4:Y$195),2,IF(Data!Y41&lt;=QUARTILE(Data!Y$4:Y$195,3),3,4)))</f>
        <v>2</v>
      </c>
      <c r="Z41" s="15">
        <f>IF(Data!Z41&lt;=QUARTILE(Data!Z$4:Z$195,1),1,IF(Data!Z41&lt;=MEDIAN(Data!Z$4:Z$195),2,IF(Data!Z41&lt;=QUARTILE(Data!Z$4:Z$195,3),3,4)))</f>
        <v>4</v>
      </c>
      <c r="AA41" s="14">
        <f>IF(Data!AA41&lt;=QUARTILE(Data!AA$4:AA$195,1),1,IF(Data!AA41&lt;=MEDIAN(Data!AA$4:AA$195),2,IF(Data!AA41&lt;=QUARTILE(Data!AA$4:AA$195,3),3,4)))</f>
        <v>3</v>
      </c>
      <c r="AB41" s="15">
        <f>IF(Data!AB41&lt;=QUARTILE(Data!AB$4:AB$195,1),1,IF(Data!AB41&lt;=MEDIAN(Data!AB$4:AB$195),2,IF(Data!AB41&lt;=QUARTILE(Data!AB$4:AB$195,3),3,4)))</f>
        <v>2</v>
      </c>
      <c r="AC41" s="14">
        <f>IF(Data!AC41&lt;=QUARTILE(Data!AC$4:AC$195,1),1,IF(Data!AC41&lt;=MEDIAN(Data!AC$4:AC$195),2,IF(Data!AC41&lt;=QUARTILE(Data!AC$4:AC$195,3),3,4)))</f>
        <v>4</v>
      </c>
      <c r="AD41" s="15">
        <f>IF(Data!AD41&lt;=QUARTILE(Data!AD$4:AD$195,1),1,IF(Data!AD41&lt;=MEDIAN(Data!AD$4:AD$195),2,IF(Data!AD41&lt;=QUARTILE(Data!AD$4:AD$195,3),3,4)))</f>
        <v>4</v>
      </c>
      <c r="AE41" s="4">
        <f>IF(Data!AE41&lt;=QUARTILE(Data!AE$4:AE$195,1),1,IF(Data!AE41&lt;=MEDIAN(Data!AE$4:AE$195),2,IF(Data!AE41&lt;=QUARTILE(Data!AE$4:AE$195,3),3,4)))</f>
        <v>2</v>
      </c>
      <c r="AF41" s="3">
        <f>IF(Data!AF41&lt;=QUARTILE(Data!AF$4:AF$195,1),1,IF(Data!AF41&lt;=MEDIAN(Data!AF$4:AF$195),2,IF(Data!AF41&lt;=QUARTILE(Data!AF$4:AF$195,3),3,4)))</f>
        <v>3</v>
      </c>
      <c r="AG41" s="3">
        <f>IF(Data!AG41&lt;=QUARTILE(Data!AG$4:AG$195,1),1,IF(Data!AG41&lt;=MEDIAN(Data!AG$4:AG$195),2,IF(Data!AG41&lt;=QUARTILE(Data!AG$4:AG$195,3),3,4)))</f>
        <v>2</v>
      </c>
      <c r="AH41" s="3">
        <f>IF(Data!AH41&lt;=QUARTILE(Data!AH$4:AH$195,1),1,IF(Data!AH41&lt;=MEDIAN(Data!AH$4:AH$195),2,IF(Data!AH41&lt;=QUARTILE(Data!AH$4:AH$195,3),3,4)))</f>
        <v>2</v>
      </c>
      <c r="AI41" s="4">
        <f>IF(Data!AI41&lt;=QUARTILE(Data!AI$4:AI$195,1),1,IF(Data!AI41&lt;=MEDIAN(Data!AI$4:AI$195),2,IF(Data!AI41&lt;=QUARTILE(Data!AI$4:AI$195,3),3,4)))</f>
        <v>4</v>
      </c>
      <c r="AJ41" s="5">
        <f>IF(Data!AJ41&lt;=QUARTILE(Data!AJ$4:AJ$195,1),1,IF(Data!AJ41&lt;=MEDIAN(Data!AJ$4:AJ$195),2,IF(Data!AJ41&lt;=QUARTILE(Data!AJ$4:AJ$195,3),3,4)))</f>
        <v>4</v>
      </c>
      <c r="AK41" s="14">
        <f>IF(Data!AK41&lt;=QUARTILE(Data!AK$4:AK$195,1),1,IF(Data!AK41&lt;=MEDIAN(Data!AK$4:AK$195),2,IF(Data!AK41&lt;=QUARTILE(Data!AK$4:AK$195,3),3,4)))</f>
        <v>3</v>
      </c>
      <c r="AL41" s="19">
        <f>IF(Data!AL41&lt;=QUARTILE(Data!AL$4:AL$195,1),1,IF(Data!AL41&lt;=MEDIAN(Data!AL$4:AL$195),2,IF(Data!AL41&lt;=QUARTILE(Data!AL$4:AL$195,3),3,4)))</f>
        <v>3</v>
      </c>
      <c r="AM41" s="19">
        <f>IF(Data!AM41&lt;=QUARTILE(Data!AM$4:AM$195,1),1,IF(Data!AM41&lt;=MEDIAN(Data!AM$4:AM$195),2,IF(Data!AM41&lt;=QUARTILE(Data!AM$4:AM$195,3),3,4)))</f>
        <v>4</v>
      </c>
      <c r="AN41" s="15">
        <f>IF(Data!AN41&lt;=QUARTILE(Data!AN$4:AN$195,1),1,IF(Data!AN41&lt;=MEDIAN(Data!AN$4:AN$195),2,IF(Data!AN41&lt;=QUARTILE(Data!AN$4:AN$195,3),3,4)))</f>
        <v>3</v>
      </c>
      <c r="AO41" s="14">
        <f>IF(Data!AO41&lt;=QUARTILE(Data!AO$4:AO$195,1),1,IF(Data!AO41&lt;=MEDIAN(Data!AO$4:AO$195),2,IF(Data!AO41&lt;=QUARTILE(Data!AO$4:AO$195,3),3,4)))</f>
        <v>4</v>
      </c>
      <c r="AP41" s="19">
        <f>IF(Data!AP41&lt;=QUARTILE(Data!AP$4:AP$195,1),1,IF(Data!AP41&lt;=MEDIAN(Data!AP$4:AP$195),2,IF(Data!AP41&lt;=QUARTILE(Data!AP$4:AP$195,3),3,4)))</f>
        <v>4</v>
      </c>
      <c r="AQ41" s="19">
        <f>IF(Data!AQ41&lt;=QUARTILE(Data!AQ$4:AQ$195,1),1,IF(Data!AQ41&lt;=MEDIAN(Data!AQ$4:AQ$195),2,IF(Data!AQ41&lt;=QUARTILE(Data!AQ$4:AQ$195,3),3,4)))</f>
        <v>4</v>
      </c>
      <c r="AR41" s="19">
        <f>IF(Data!AR41&lt;=QUARTILE(Data!AR$4:AR$195,1),1,IF(Data!AR41&lt;=MEDIAN(Data!AR$4:AR$195),2,IF(Data!AR41&lt;=QUARTILE(Data!AR$4:AR$195,3),3,4)))</f>
        <v>2</v>
      </c>
      <c r="AS41" s="19">
        <f>IF(Data!AS41&lt;=QUARTILE(Data!AS$4:AS$195,1),1,IF(Data!AS41&lt;=MEDIAN(Data!AS$4:AS$195),2,IF(Data!AS41&lt;=QUARTILE(Data!AS$4:AS$195,3),3,4)))</f>
        <v>4</v>
      </c>
      <c r="AT41" s="19">
        <f>IF(Data!AT41&lt;=QUARTILE(Data!AT$4:AT$195,1),1,IF(Data!AT41&lt;=MEDIAN(Data!AT$4:AT$195),2,IF(Data!AT41&lt;=QUARTILE(Data!AT$4:AT$195,3),3,4)))</f>
        <v>1</v>
      </c>
      <c r="AU41" s="15">
        <f>IF(Data!AU41&lt;=QUARTILE(Data!AU$4:AU$195,1),1,IF(Data!AU41&lt;=MEDIAN(Data!AU$4:AU$195),2,IF(Data!AU41&lt;=QUARTILE(Data!AU$4:AU$195,3),3,4)))</f>
        <v>2</v>
      </c>
      <c r="AV41" s="14">
        <f>IF(Data!AV41&lt;=QUARTILE(Data!AV$4:AV$195,1),1,IF(Data!AV41&lt;=MEDIAN(Data!AV$4:AV$195),2,IF(Data!AV41&lt;=QUARTILE(Data!AV$4:AV$195,3),3,4)))</f>
        <v>2</v>
      </c>
      <c r="AW41" s="19">
        <f>IF(Data!AW41&lt;=QUARTILE(Data!AW$4:AW$195,1),1,IF(Data!AW41&lt;=MEDIAN(Data!AW$4:AW$195),2,IF(Data!AW41&lt;=QUARTILE(Data!AW$4:AW$195,3),3,4)))</f>
        <v>1</v>
      </c>
      <c r="AX41" s="19">
        <f>IF(Data!AX41&lt;=QUARTILE(Data!AX$4:AX$195,1),1,IF(Data!AX41&lt;=MEDIAN(Data!AX$4:AX$195),2,IF(Data!AX41&lt;=QUARTILE(Data!AX$4:AX$195,3),3,4)))</f>
        <v>3</v>
      </c>
      <c r="AY41" s="15">
        <f>IF(Data!AY41&lt;=QUARTILE(Data!AY$4:AY$195,1),1,IF(Data!AY41&lt;=MEDIAN(Data!AY$4:AY$195),2,IF(Data!AY41&lt;=QUARTILE(Data!AY$4:AY$195,3),3,4)))</f>
        <v>2</v>
      </c>
      <c r="AZ41" s="14">
        <f>IF(Data!AZ41&lt;=QUARTILE(Data!AZ$4:AZ$195,1),1,IF(Data!AZ41&lt;=MEDIAN(Data!AZ$4:AZ$195),2,IF(Data!AZ41&lt;=QUARTILE(Data!AZ$4:AZ$195,3),3,4)))</f>
        <v>4</v>
      </c>
      <c r="BA41" s="15">
        <f>IF(Data!BA41&lt;=QUARTILE(Data!BA$4:BA$195,1),1,IF(Data!BA41&lt;=MEDIAN(Data!BA$4:BA$195),2,IF(Data!BA41&lt;=QUARTILE(Data!BA$4:BA$195,3),3,4)))</f>
        <v>2</v>
      </c>
    </row>
    <row r="42" spans="1:53" x14ac:dyDescent="0.25">
      <c r="A42" s="4" t="s">
        <v>7</v>
      </c>
      <c r="B42" s="40">
        <v>2008</v>
      </c>
      <c r="C42" s="14">
        <v>4</v>
      </c>
      <c r="D42" s="19">
        <v>11</v>
      </c>
      <c r="E42" s="74" t="s">
        <v>96</v>
      </c>
      <c r="F42" s="19">
        <v>-7</v>
      </c>
      <c r="G42" s="19">
        <v>-6.9</v>
      </c>
      <c r="H42" s="15">
        <v>-0.1</v>
      </c>
      <c r="I42" s="14">
        <f>IF(Data!I42&lt;=QUARTILE(Data!I$4:I$195,1),1,IF(Data!I42&lt;=MEDIAN(Data!I$4:I$195),2,IF(Data!I42&lt;=QUARTILE(Data!I$4:I$195,3),3,4)))</f>
        <v>1</v>
      </c>
      <c r="J42" s="19">
        <f>IF(Data!J42&lt;=QUARTILE(Data!J$4:J$195,1),1,IF(Data!J42&lt;=MEDIAN(Data!J$4:J$195),2,IF(Data!J42&lt;=QUARTILE(Data!J$4:J$195,3),3,4)))</f>
        <v>1</v>
      </c>
      <c r="K42" s="19">
        <f>IF(Data!K42&lt;=QUARTILE(Data!K$4:K$195,1),1,IF(Data!K42&lt;=MEDIAN(Data!K$4:K$195),2,IF(Data!K42&lt;=QUARTILE(Data!K$4:K$195,3),3,4)))</f>
        <v>2</v>
      </c>
      <c r="L42" s="15">
        <f>IF(Data!L42&lt;=QUARTILE(Data!L$4:L$195,1),1,IF(Data!L42&lt;=MEDIAN(Data!L$4:L$195),2,IF(Data!L42&lt;=QUARTILE(Data!L$4:L$195,3),3,4)))</f>
        <v>1</v>
      </c>
      <c r="M42" s="14">
        <f>IF(Data!M42&lt;=QUARTILE(Data!M$4:M$195,1),1,IF(Data!M42&lt;=MEDIAN(Data!M$4:M$195),2,IF(Data!M42&lt;=QUARTILE(Data!M$4:M$195,3),3,4)))</f>
        <v>2</v>
      </c>
      <c r="N42" s="19">
        <f>IF(Data!N42&lt;=QUARTILE(Data!N$4:N$195,1),1,IF(Data!N42&lt;=MEDIAN(Data!N$4:N$195),2,IF(Data!N42&lt;=QUARTILE(Data!N$4:N$195,3),3,4)))</f>
        <v>2</v>
      </c>
      <c r="O42" s="19">
        <f>IF(Data!O42&lt;=QUARTILE(Data!O$4:O$195,1),1,IF(Data!O42&lt;=MEDIAN(Data!O$4:O$195),2,IF(Data!O42&lt;=QUARTILE(Data!O$4:O$195,3),3,4)))</f>
        <v>1</v>
      </c>
      <c r="P42" s="19">
        <f>IF(Data!P42&lt;=QUARTILE(Data!P$4:P$195,1),1,IF(Data!P42&lt;=MEDIAN(Data!P$4:P$195),2,IF(Data!P42&lt;=QUARTILE(Data!P$4:P$195,3),3,4)))</f>
        <v>1</v>
      </c>
      <c r="Q42" s="19">
        <f>IF(Data!Q42&lt;=QUARTILE(Data!Q$4:Q$195,1),1,IF(Data!Q42&lt;=MEDIAN(Data!Q$4:Q$195),2,IF(Data!Q42&lt;=QUARTILE(Data!Q$4:Q$195,3),3,4)))</f>
        <v>1</v>
      </c>
      <c r="R42" s="19">
        <f>IF(Data!R42&lt;=QUARTILE(Data!R$4:R$195,1),1,IF(Data!R42&lt;=MEDIAN(Data!R$4:R$195),2,IF(Data!R42&lt;=QUARTILE(Data!R$4:R$195,3),3,4)))</f>
        <v>1</v>
      </c>
      <c r="S42" s="19">
        <f>IF(Data!S42&lt;=QUARTILE(Data!S$4:S$195,1),1,IF(Data!S42&lt;=MEDIAN(Data!S$4:S$195),2,IF(Data!S42&lt;=QUARTILE(Data!S$4:S$195,3),3,4)))</f>
        <v>4</v>
      </c>
      <c r="T42" s="15">
        <f>IF(Data!T42&lt;=QUARTILE(Data!T$4:T$195,1),1,IF(Data!T42&lt;=MEDIAN(Data!T$4:T$195),2,IF(Data!T42&lt;=QUARTILE(Data!T$4:T$195,3),3,4)))</f>
        <v>3</v>
      </c>
      <c r="U42" s="14">
        <f>IF(Data!U42&lt;=QUARTILE(Data!U$4:U$195,1),1,IF(Data!U42&lt;=MEDIAN(Data!U$4:U$195),2,IF(Data!U42&lt;=QUARTILE(Data!U$4:U$195,3),3,4)))</f>
        <v>2</v>
      </c>
      <c r="V42" s="19">
        <f>IF(Data!V42&lt;=QUARTILE(Data!V$4:V$195,1),1,IF(Data!V42&lt;=MEDIAN(Data!V$4:V$195),2,IF(Data!V42&lt;=QUARTILE(Data!V$4:V$195,3),3,4)))</f>
        <v>1</v>
      </c>
      <c r="W42" s="19">
        <f>IF(Data!W42&lt;=QUARTILE(Data!W$4:W$195,1),1,IF(Data!W42&lt;=MEDIAN(Data!W$4:W$195),2,IF(Data!W42&lt;=QUARTILE(Data!W$4:W$195,3),3,4)))</f>
        <v>1</v>
      </c>
      <c r="X42" s="15">
        <f>IF(Data!X42&lt;=QUARTILE(Data!X$4:X$195,1),1,IF(Data!X42&lt;=MEDIAN(Data!X$4:X$195),2,IF(Data!X42&lt;=QUARTILE(Data!X$4:X$195,3),3,4)))</f>
        <v>1</v>
      </c>
      <c r="Y42" s="14">
        <f>IF(Data!Y42&lt;=QUARTILE(Data!Y$4:Y$195,1),1,IF(Data!Y42&lt;=MEDIAN(Data!Y$4:Y$195),2,IF(Data!Y42&lt;=QUARTILE(Data!Y$4:Y$195,3),3,4)))</f>
        <v>2</v>
      </c>
      <c r="Z42" s="15">
        <f>IF(Data!Z42&lt;=QUARTILE(Data!Z$4:Z$195,1),1,IF(Data!Z42&lt;=MEDIAN(Data!Z$4:Z$195),2,IF(Data!Z42&lt;=QUARTILE(Data!Z$4:Z$195,3),3,4)))</f>
        <v>4</v>
      </c>
      <c r="AA42" s="14">
        <f>IF(Data!AA42&lt;=QUARTILE(Data!AA$4:AA$195,1),1,IF(Data!AA42&lt;=MEDIAN(Data!AA$4:AA$195),2,IF(Data!AA42&lt;=QUARTILE(Data!AA$4:AA$195,3),3,4)))</f>
        <v>2</v>
      </c>
      <c r="AB42" s="15">
        <f>IF(Data!AB42&lt;=QUARTILE(Data!AB$4:AB$195,1),1,IF(Data!AB42&lt;=MEDIAN(Data!AB$4:AB$195),2,IF(Data!AB42&lt;=QUARTILE(Data!AB$4:AB$195,3),3,4)))</f>
        <v>2</v>
      </c>
      <c r="AC42" s="14">
        <f>IF(Data!AC42&lt;=QUARTILE(Data!AC$4:AC$195,1),1,IF(Data!AC42&lt;=MEDIAN(Data!AC$4:AC$195),2,IF(Data!AC42&lt;=QUARTILE(Data!AC$4:AC$195,3),3,4)))</f>
        <v>3</v>
      </c>
      <c r="AD42" s="15">
        <f>IF(Data!AD42&lt;=QUARTILE(Data!AD$4:AD$195,1),1,IF(Data!AD42&lt;=MEDIAN(Data!AD$4:AD$195),2,IF(Data!AD42&lt;=QUARTILE(Data!AD$4:AD$195,3),3,4)))</f>
        <v>3</v>
      </c>
      <c r="AE42" s="4">
        <f>IF(Data!AE42&lt;=QUARTILE(Data!AE$4:AE$195,1),1,IF(Data!AE42&lt;=MEDIAN(Data!AE$4:AE$195),2,IF(Data!AE42&lt;=QUARTILE(Data!AE$4:AE$195,3),3,4)))</f>
        <v>1</v>
      </c>
      <c r="AF42" s="3">
        <f>IF(Data!AF42&lt;=QUARTILE(Data!AF$4:AF$195,1),1,IF(Data!AF42&lt;=MEDIAN(Data!AF$4:AF$195),2,IF(Data!AF42&lt;=QUARTILE(Data!AF$4:AF$195,3),3,4)))</f>
        <v>1</v>
      </c>
      <c r="AG42" s="3">
        <f>IF(Data!AG42&lt;=QUARTILE(Data!AG$4:AG$195,1),1,IF(Data!AG42&lt;=MEDIAN(Data!AG$4:AG$195),2,IF(Data!AG42&lt;=QUARTILE(Data!AG$4:AG$195,3),3,4)))</f>
        <v>2</v>
      </c>
      <c r="AH42" s="3">
        <f>IF(Data!AH42&lt;=QUARTILE(Data!AH$4:AH$195,1),1,IF(Data!AH42&lt;=MEDIAN(Data!AH$4:AH$195),2,IF(Data!AH42&lt;=QUARTILE(Data!AH$4:AH$195,3),3,4)))</f>
        <v>3</v>
      </c>
      <c r="AI42" s="14">
        <f>IF(Data!AI42&lt;=QUARTILE(Data!AI$4:AI$195,1),1,IF(Data!AI42&lt;=MEDIAN(Data!AI$4:AI$195),2,IF(Data!AI42&lt;=QUARTILE(Data!AI$4:AI$195,3),3,4)))</f>
        <v>4</v>
      </c>
      <c r="AJ42" s="15">
        <f>IF(Data!AJ42&lt;=QUARTILE(Data!AJ$4:AJ$195,1),1,IF(Data!AJ42&lt;=MEDIAN(Data!AJ$4:AJ$195),2,IF(Data!AJ42&lt;=QUARTILE(Data!AJ$4:AJ$195,3),3,4)))</f>
        <v>4</v>
      </c>
      <c r="AK42" s="14">
        <f>IF(Data!AK42&lt;=QUARTILE(Data!AK$4:AK$195,1),1,IF(Data!AK42&lt;=MEDIAN(Data!AK$4:AK$195),2,IF(Data!AK42&lt;=QUARTILE(Data!AK$4:AK$195,3),3,4)))</f>
        <v>3</v>
      </c>
      <c r="AL42" s="19">
        <f>IF(Data!AL42&lt;=QUARTILE(Data!AL$4:AL$195,1),1,IF(Data!AL42&lt;=MEDIAN(Data!AL$4:AL$195),2,IF(Data!AL42&lt;=QUARTILE(Data!AL$4:AL$195,3),3,4)))</f>
        <v>2</v>
      </c>
      <c r="AM42" s="19">
        <f>IF(Data!AM42&lt;=QUARTILE(Data!AM$4:AM$195,1),1,IF(Data!AM42&lt;=MEDIAN(Data!AM$4:AM$195),2,IF(Data!AM42&lt;=QUARTILE(Data!AM$4:AM$195,3),3,4)))</f>
        <v>3</v>
      </c>
      <c r="AN42" s="15">
        <f>IF(Data!AN42&lt;=QUARTILE(Data!AN$4:AN$195,1),1,IF(Data!AN42&lt;=MEDIAN(Data!AN$4:AN$195),2,IF(Data!AN42&lt;=QUARTILE(Data!AN$4:AN$195,3),3,4)))</f>
        <v>2</v>
      </c>
      <c r="AO42" s="14">
        <f>IF(Data!AO42&lt;=QUARTILE(Data!AO$4:AO$195,1),1,IF(Data!AO42&lt;=MEDIAN(Data!AO$4:AO$195),2,IF(Data!AO42&lt;=QUARTILE(Data!AO$4:AO$195,3),3,4)))</f>
        <v>3</v>
      </c>
      <c r="AP42" s="19">
        <f>IF(Data!AP42&lt;=QUARTILE(Data!AP$4:AP$195,1),1,IF(Data!AP42&lt;=MEDIAN(Data!AP$4:AP$195),2,IF(Data!AP42&lt;=QUARTILE(Data!AP$4:AP$195,3),3,4)))</f>
        <v>2</v>
      </c>
      <c r="AQ42" s="19">
        <f>IF(Data!AQ42&lt;=QUARTILE(Data!AQ$4:AQ$195,1),1,IF(Data!AQ42&lt;=MEDIAN(Data!AQ$4:AQ$195),2,IF(Data!AQ42&lt;=QUARTILE(Data!AQ$4:AQ$195,3),3,4)))</f>
        <v>2</v>
      </c>
      <c r="AR42" s="19">
        <f>IF(Data!AR42&lt;=QUARTILE(Data!AR$4:AR$195,1),1,IF(Data!AR42&lt;=MEDIAN(Data!AR$4:AR$195),2,IF(Data!AR42&lt;=QUARTILE(Data!AR$4:AR$195,3),3,4)))</f>
        <v>3</v>
      </c>
      <c r="AS42" s="19">
        <f>IF(Data!AS42&lt;=QUARTILE(Data!AS$4:AS$195,1),1,IF(Data!AS42&lt;=MEDIAN(Data!AS$4:AS$195),2,IF(Data!AS42&lt;=QUARTILE(Data!AS$4:AS$195,3),3,4)))</f>
        <v>2</v>
      </c>
      <c r="AT42" s="19">
        <f>IF(Data!AT42&lt;=QUARTILE(Data!AT$4:AT$195,1),1,IF(Data!AT42&lt;=MEDIAN(Data!AT$4:AT$195),2,IF(Data!AT42&lt;=QUARTILE(Data!AT$4:AT$195,3),3,4)))</f>
        <v>1</v>
      </c>
      <c r="AU42" s="15">
        <f>IF(Data!AU42&lt;=QUARTILE(Data!AU$4:AU$195,1),1,IF(Data!AU42&lt;=MEDIAN(Data!AU$4:AU$195),2,IF(Data!AU42&lt;=QUARTILE(Data!AU$4:AU$195,3),3,4)))</f>
        <v>1</v>
      </c>
      <c r="AV42" s="14">
        <f>IF(Data!AV42&lt;=QUARTILE(Data!AV$4:AV$195,1),1,IF(Data!AV42&lt;=MEDIAN(Data!AV$4:AV$195),2,IF(Data!AV42&lt;=QUARTILE(Data!AV$4:AV$195,3),3,4)))</f>
        <v>4</v>
      </c>
      <c r="AW42" s="19">
        <f>IF(Data!AW42&lt;=QUARTILE(Data!AW$4:AW$195,1),1,IF(Data!AW42&lt;=MEDIAN(Data!AW$4:AW$195),2,IF(Data!AW42&lt;=QUARTILE(Data!AW$4:AW$195,3),3,4)))</f>
        <v>3</v>
      </c>
      <c r="AX42" s="19">
        <f>IF(Data!AX42&lt;=QUARTILE(Data!AX$4:AX$195,1),1,IF(Data!AX42&lt;=MEDIAN(Data!AX$4:AX$195),2,IF(Data!AX42&lt;=QUARTILE(Data!AX$4:AX$195,3),3,4)))</f>
        <v>3</v>
      </c>
      <c r="AY42" s="15">
        <f>IF(Data!AY42&lt;=QUARTILE(Data!AY$4:AY$195,1),1,IF(Data!AY42&lt;=MEDIAN(Data!AY$4:AY$195),2,IF(Data!AY42&lt;=QUARTILE(Data!AY$4:AY$195,3),3,4)))</f>
        <v>3</v>
      </c>
      <c r="AZ42" s="14">
        <f>IF(Data!AZ42&lt;=QUARTILE(Data!AZ$4:AZ$195,1),1,IF(Data!AZ42&lt;=MEDIAN(Data!AZ$4:AZ$195),2,IF(Data!AZ42&lt;=QUARTILE(Data!AZ$4:AZ$195,3),3,4)))</f>
        <v>1</v>
      </c>
      <c r="BA42" s="15">
        <f>IF(Data!BA42&lt;=QUARTILE(Data!BA$4:BA$195,1),1,IF(Data!BA42&lt;=MEDIAN(Data!BA$4:BA$195),2,IF(Data!BA42&lt;=QUARTILE(Data!BA$4:BA$195,3),3,4)))</f>
        <v>3</v>
      </c>
    </row>
    <row r="43" spans="1:53" x14ac:dyDescent="0.25">
      <c r="A43" s="4" t="s">
        <v>10</v>
      </c>
      <c r="B43" s="40">
        <v>2008</v>
      </c>
      <c r="C43" s="14">
        <v>4</v>
      </c>
      <c r="D43" s="19">
        <v>12</v>
      </c>
      <c r="E43" s="74" t="s">
        <v>96</v>
      </c>
      <c r="F43" s="19">
        <v>-4.5999999999999996</v>
      </c>
      <c r="G43" s="19">
        <v>-5.2</v>
      </c>
      <c r="H43" s="15">
        <v>0.6</v>
      </c>
      <c r="I43" s="14">
        <f>IF(Data!I43&lt;=QUARTILE(Data!I$4:I$195,1),1,IF(Data!I43&lt;=MEDIAN(Data!I$4:I$195),2,IF(Data!I43&lt;=QUARTILE(Data!I$4:I$195,3),3,4)))</f>
        <v>1</v>
      </c>
      <c r="J43" s="19">
        <f>IF(Data!J43&lt;=QUARTILE(Data!J$4:J$195,1),1,IF(Data!J43&lt;=MEDIAN(Data!J$4:J$195),2,IF(Data!J43&lt;=QUARTILE(Data!J$4:J$195,3),3,4)))</f>
        <v>1</v>
      </c>
      <c r="K43" s="19">
        <f>IF(Data!K43&lt;=QUARTILE(Data!K$4:K$195,1),1,IF(Data!K43&lt;=MEDIAN(Data!K$4:K$195),2,IF(Data!K43&lt;=QUARTILE(Data!K$4:K$195,3),3,4)))</f>
        <v>1</v>
      </c>
      <c r="L43" s="15">
        <f>IF(Data!L43&lt;=QUARTILE(Data!L$4:L$195,1),1,IF(Data!L43&lt;=MEDIAN(Data!L$4:L$195),2,IF(Data!L43&lt;=QUARTILE(Data!L$4:L$195,3),3,4)))</f>
        <v>1</v>
      </c>
      <c r="M43" s="14">
        <f>IF(Data!M43&lt;=QUARTILE(Data!M$4:M$195,1),1,IF(Data!M43&lt;=MEDIAN(Data!M$4:M$195),2,IF(Data!M43&lt;=QUARTILE(Data!M$4:M$195,3),3,4)))</f>
        <v>1</v>
      </c>
      <c r="N43" s="19">
        <f>IF(Data!N43&lt;=QUARTILE(Data!N$4:N$195,1),1,IF(Data!N43&lt;=MEDIAN(Data!N$4:N$195),2,IF(Data!N43&lt;=QUARTILE(Data!N$4:N$195,3),3,4)))</f>
        <v>2</v>
      </c>
      <c r="O43" s="19">
        <f>IF(Data!O43&lt;=QUARTILE(Data!O$4:O$195,1),1,IF(Data!O43&lt;=MEDIAN(Data!O$4:O$195),2,IF(Data!O43&lt;=QUARTILE(Data!O$4:O$195,3),3,4)))</f>
        <v>1</v>
      </c>
      <c r="P43" s="19">
        <f>IF(Data!P43&lt;=QUARTILE(Data!P$4:P$195,1),1,IF(Data!P43&lt;=MEDIAN(Data!P$4:P$195),2,IF(Data!P43&lt;=QUARTILE(Data!P$4:P$195,3),3,4)))</f>
        <v>1</v>
      </c>
      <c r="Q43" s="19">
        <f>IF(Data!Q43&lt;=QUARTILE(Data!Q$4:Q$195,1),1,IF(Data!Q43&lt;=MEDIAN(Data!Q$4:Q$195),2,IF(Data!Q43&lt;=QUARTILE(Data!Q$4:Q$195,3),3,4)))</f>
        <v>1</v>
      </c>
      <c r="R43" s="19">
        <f>IF(Data!R43&lt;=QUARTILE(Data!R$4:R$195,1),1,IF(Data!R43&lt;=MEDIAN(Data!R$4:R$195),2,IF(Data!R43&lt;=QUARTILE(Data!R$4:R$195,3),3,4)))</f>
        <v>1</v>
      </c>
      <c r="S43" s="19">
        <f>IF(Data!S43&lt;=QUARTILE(Data!S$4:S$195,1),1,IF(Data!S43&lt;=MEDIAN(Data!S$4:S$195),2,IF(Data!S43&lt;=QUARTILE(Data!S$4:S$195,3),3,4)))</f>
        <v>1</v>
      </c>
      <c r="T43" s="15">
        <f>IF(Data!T43&lt;=QUARTILE(Data!T$4:T$195,1),1,IF(Data!T43&lt;=MEDIAN(Data!T$4:T$195),2,IF(Data!T43&lt;=QUARTILE(Data!T$4:T$195,3),3,4)))</f>
        <v>1</v>
      </c>
      <c r="U43" s="14">
        <f>IF(Data!U43&lt;=QUARTILE(Data!U$4:U$195,1),1,IF(Data!U43&lt;=MEDIAN(Data!U$4:U$195),2,IF(Data!U43&lt;=QUARTILE(Data!U$4:U$195,3),3,4)))</f>
        <v>2</v>
      </c>
      <c r="V43" s="19">
        <f>IF(Data!V43&lt;=QUARTILE(Data!V$4:V$195,1),1,IF(Data!V43&lt;=MEDIAN(Data!V$4:V$195),2,IF(Data!V43&lt;=QUARTILE(Data!V$4:V$195,3),3,4)))</f>
        <v>2</v>
      </c>
      <c r="W43" s="19">
        <f>IF(Data!W43&lt;=QUARTILE(Data!W$4:W$195,1),1,IF(Data!W43&lt;=MEDIAN(Data!W$4:W$195),2,IF(Data!W43&lt;=QUARTILE(Data!W$4:W$195,3),3,4)))</f>
        <v>1</v>
      </c>
      <c r="X43" s="15">
        <f>IF(Data!X43&lt;=QUARTILE(Data!X$4:X$195,1),1,IF(Data!X43&lt;=MEDIAN(Data!X$4:X$195),2,IF(Data!X43&lt;=QUARTILE(Data!X$4:X$195,3),3,4)))</f>
        <v>2</v>
      </c>
      <c r="Y43" s="14">
        <f>IF(Data!Y43&lt;=QUARTILE(Data!Y$4:Y$195,1),1,IF(Data!Y43&lt;=MEDIAN(Data!Y$4:Y$195),2,IF(Data!Y43&lt;=QUARTILE(Data!Y$4:Y$195,3),3,4)))</f>
        <v>4</v>
      </c>
      <c r="Z43" s="15">
        <f>IF(Data!Z43&lt;=QUARTILE(Data!Z$4:Z$195,1),1,IF(Data!Z43&lt;=MEDIAN(Data!Z$4:Z$195),2,IF(Data!Z43&lt;=QUARTILE(Data!Z$4:Z$195,3),3,4)))</f>
        <v>4</v>
      </c>
      <c r="AA43" s="14">
        <f>IF(Data!AA43&lt;=QUARTILE(Data!AA$4:AA$195,1),1,IF(Data!AA43&lt;=MEDIAN(Data!AA$4:AA$195),2,IF(Data!AA43&lt;=QUARTILE(Data!AA$4:AA$195,3),3,4)))</f>
        <v>1</v>
      </c>
      <c r="AB43" s="15">
        <f>IF(Data!AB43&lt;=QUARTILE(Data!AB$4:AB$195,1),1,IF(Data!AB43&lt;=MEDIAN(Data!AB$4:AB$195),2,IF(Data!AB43&lt;=QUARTILE(Data!AB$4:AB$195,3),3,4)))</f>
        <v>2</v>
      </c>
      <c r="AC43" s="14">
        <f>IF(Data!AC43&lt;=QUARTILE(Data!AC$4:AC$195,1),1,IF(Data!AC43&lt;=MEDIAN(Data!AC$4:AC$195),2,IF(Data!AC43&lt;=QUARTILE(Data!AC$4:AC$195,3),3,4)))</f>
        <v>1</v>
      </c>
      <c r="AD43" s="15">
        <f>IF(Data!AD43&lt;=QUARTILE(Data!AD$4:AD$195,1),1,IF(Data!AD43&lt;=MEDIAN(Data!AD$4:AD$195),2,IF(Data!AD43&lt;=QUARTILE(Data!AD$4:AD$195,3),3,4)))</f>
        <v>2</v>
      </c>
      <c r="AE43" s="4">
        <f>IF(Data!AE43&lt;=QUARTILE(Data!AE$4:AE$195,1),1,IF(Data!AE43&lt;=MEDIAN(Data!AE$4:AE$195),2,IF(Data!AE43&lt;=QUARTILE(Data!AE$4:AE$195,3),3,4)))</f>
        <v>4</v>
      </c>
      <c r="AF43" s="3">
        <f>IF(Data!AF43&lt;=QUARTILE(Data!AF$4:AF$195,1),1,IF(Data!AF43&lt;=MEDIAN(Data!AF$4:AF$195),2,IF(Data!AF43&lt;=QUARTILE(Data!AF$4:AF$195,3),3,4)))</f>
        <v>4</v>
      </c>
      <c r="AG43" s="3">
        <f>IF(Data!AG43&lt;=QUARTILE(Data!AG$4:AG$195,1),1,IF(Data!AG43&lt;=MEDIAN(Data!AG$4:AG$195),2,IF(Data!AG43&lt;=QUARTILE(Data!AG$4:AG$195,3),3,4)))</f>
        <v>3</v>
      </c>
      <c r="AH43" s="3">
        <f>IF(Data!AH43&lt;=QUARTILE(Data!AH$4:AH$195,1),1,IF(Data!AH43&lt;=MEDIAN(Data!AH$4:AH$195),2,IF(Data!AH43&lt;=QUARTILE(Data!AH$4:AH$195,3),3,4)))</f>
        <v>2</v>
      </c>
      <c r="AI43" s="14">
        <f>IF(Data!AI43&lt;=QUARTILE(Data!AI$4:AI$195,1),1,IF(Data!AI43&lt;=MEDIAN(Data!AI$4:AI$195),2,IF(Data!AI43&lt;=QUARTILE(Data!AI$4:AI$195,3),3,4)))</f>
        <v>2</v>
      </c>
      <c r="AJ43" s="15">
        <f>IF(Data!AJ43&lt;=QUARTILE(Data!AJ$4:AJ$195,1),1,IF(Data!AJ43&lt;=MEDIAN(Data!AJ$4:AJ$195),2,IF(Data!AJ43&lt;=QUARTILE(Data!AJ$4:AJ$195,3),3,4)))</f>
        <v>3</v>
      </c>
      <c r="AK43" s="14">
        <f>IF(Data!AK43&lt;=QUARTILE(Data!AK$4:AK$195,1),1,IF(Data!AK43&lt;=MEDIAN(Data!AK$4:AK$195),2,IF(Data!AK43&lt;=QUARTILE(Data!AK$4:AK$195,3),3,4)))</f>
        <v>3</v>
      </c>
      <c r="AL43" s="19">
        <f>IF(Data!AL43&lt;=QUARTILE(Data!AL$4:AL$195,1),1,IF(Data!AL43&lt;=MEDIAN(Data!AL$4:AL$195),2,IF(Data!AL43&lt;=QUARTILE(Data!AL$4:AL$195,3),3,4)))</f>
        <v>4</v>
      </c>
      <c r="AM43" s="19">
        <f>IF(Data!AM43&lt;=QUARTILE(Data!AM$4:AM$195,1),1,IF(Data!AM43&lt;=MEDIAN(Data!AM$4:AM$195),2,IF(Data!AM43&lt;=QUARTILE(Data!AM$4:AM$195,3),3,4)))</f>
        <v>3</v>
      </c>
      <c r="AN43" s="15">
        <f>IF(Data!AN43&lt;=QUARTILE(Data!AN$4:AN$195,1),1,IF(Data!AN43&lt;=MEDIAN(Data!AN$4:AN$195),2,IF(Data!AN43&lt;=QUARTILE(Data!AN$4:AN$195,3),3,4)))</f>
        <v>4</v>
      </c>
      <c r="AO43" s="14">
        <f>IF(Data!AO43&lt;=QUARTILE(Data!AO$4:AO$195,1),1,IF(Data!AO43&lt;=MEDIAN(Data!AO$4:AO$195),2,IF(Data!AO43&lt;=QUARTILE(Data!AO$4:AO$195,3),3,4)))</f>
        <v>1</v>
      </c>
      <c r="AP43" s="19">
        <f>IF(Data!AP43&lt;=QUARTILE(Data!AP$4:AP$195,1),1,IF(Data!AP43&lt;=MEDIAN(Data!AP$4:AP$195),2,IF(Data!AP43&lt;=QUARTILE(Data!AP$4:AP$195,3),3,4)))</f>
        <v>1</v>
      </c>
      <c r="AQ43" s="19">
        <f>IF(Data!AQ43&lt;=QUARTILE(Data!AQ$4:AQ$195,1),1,IF(Data!AQ43&lt;=MEDIAN(Data!AQ$4:AQ$195),2,IF(Data!AQ43&lt;=QUARTILE(Data!AQ$4:AQ$195,3),3,4)))</f>
        <v>2</v>
      </c>
      <c r="AR43" s="19">
        <f>IF(Data!AR43&lt;=QUARTILE(Data!AR$4:AR$195,1),1,IF(Data!AR43&lt;=MEDIAN(Data!AR$4:AR$195),2,IF(Data!AR43&lt;=QUARTILE(Data!AR$4:AR$195,3),3,4)))</f>
        <v>2</v>
      </c>
      <c r="AS43" s="19">
        <f>IF(Data!AS43&lt;=QUARTILE(Data!AS$4:AS$195,1),1,IF(Data!AS43&lt;=MEDIAN(Data!AS$4:AS$195),2,IF(Data!AS43&lt;=QUARTILE(Data!AS$4:AS$195,3),3,4)))</f>
        <v>3</v>
      </c>
      <c r="AT43" s="19">
        <f>IF(Data!AT43&lt;=QUARTILE(Data!AT$4:AT$195,1),1,IF(Data!AT43&lt;=MEDIAN(Data!AT$4:AT$195),2,IF(Data!AT43&lt;=QUARTILE(Data!AT$4:AT$195,3),3,4)))</f>
        <v>1</v>
      </c>
      <c r="AU43" s="15">
        <f>IF(Data!AU43&lt;=QUARTILE(Data!AU$4:AU$195,1),1,IF(Data!AU43&lt;=MEDIAN(Data!AU$4:AU$195),2,IF(Data!AU43&lt;=QUARTILE(Data!AU$4:AU$195,3),3,4)))</f>
        <v>1</v>
      </c>
      <c r="AV43" s="14">
        <f>IF(Data!AV43&lt;=QUARTILE(Data!AV$4:AV$195,1),1,IF(Data!AV43&lt;=MEDIAN(Data!AV$4:AV$195),2,IF(Data!AV43&lt;=QUARTILE(Data!AV$4:AV$195,3),3,4)))</f>
        <v>4</v>
      </c>
      <c r="AW43" s="19">
        <f>IF(Data!AW43&lt;=QUARTILE(Data!AW$4:AW$195,1),1,IF(Data!AW43&lt;=MEDIAN(Data!AW$4:AW$195),2,IF(Data!AW43&lt;=QUARTILE(Data!AW$4:AW$195,3),3,4)))</f>
        <v>4</v>
      </c>
      <c r="AX43" s="19">
        <f>IF(Data!AX43&lt;=QUARTILE(Data!AX$4:AX$195,1),1,IF(Data!AX43&lt;=MEDIAN(Data!AX$4:AX$195),2,IF(Data!AX43&lt;=QUARTILE(Data!AX$4:AX$195,3),3,4)))</f>
        <v>3</v>
      </c>
      <c r="AY43" s="15">
        <f>IF(Data!AY43&lt;=QUARTILE(Data!AY$4:AY$195,1),1,IF(Data!AY43&lt;=MEDIAN(Data!AY$4:AY$195),2,IF(Data!AY43&lt;=QUARTILE(Data!AY$4:AY$195,3),3,4)))</f>
        <v>4</v>
      </c>
      <c r="AZ43" s="14">
        <f>IF(Data!AZ43&lt;=QUARTILE(Data!AZ$4:AZ$195,1),1,IF(Data!AZ43&lt;=MEDIAN(Data!AZ$4:AZ$195),2,IF(Data!AZ43&lt;=QUARTILE(Data!AZ$4:AZ$195,3),3,4)))</f>
        <v>4</v>
      </c>
      <c r="BA43" s="15">
        <f>IF(Data!BA43&lt;=QUARTILE(Data!BA$4:BA$195,1),1,IF(Data!BA43&lt;=MEDIAN(Data!BA$4:BA$195),2,IF(Data!BA43&lt;=QUARTILE(Data!BA$4:BA$195,3),3,4)))</f>
        <v>1</v>
      </c>
    </row>
    <row r="44" spans="1:53" x14ac:dyDescent="0.25">
      <c r="A44" s="4" t="s">
        <v>19</v>
      </c>
      <c r="B44" s="40">
        <v>2008</v>
      </c>
      <c r="C44" s="14">
        <v>9</v>
      </c>
      <c r="D44" s="19">
        <v>7</v>
      </c>
      <c r="E44" s="74" t="s">
        <v>96</v>
      </c>
      <c r="F44" s="19">
        <v>0.6</v>
      </c>
      <c r="G44" s="19">
        <v>1.7</v>
      </c>
      <c r="H44" s="15">
        <v>-1.2</v>
      </c>
      <c r="I44" s="14">
        <f>IF(Data!I44&lt;=QUARTILE(Data!I$4:I$195,1),1,IF(Data!I44&lt;=MEDIAN(Data!I$4:I$195),2,IF(Data!I44&lt;=QUARTILE(Data!I$4:I$195,3),3,4)))</f>
        <v>3</v>
      </c>
      <c r="J44" s="19">
        <f>IF(Data!J44&lt;=QUARTILE(Data!J$4:J$195,1),1,IF(Data!J44&lt;=MEDIAN(Data!J$4:J$195),2,IF(Data!J44&lt;=QUARTILE(Data!J$4:J$195,3),3,4)))</f>
        <v>3</v>
      </c>
      <c r="K44" s="19">
        <f>IF(Data!K44&lt;=QUARTILE(Data!K$4:K$195,1),1,IF(Data!K44&lt;=MEDIAN(Data!K$4:K$195),2,IF(Data!K44&lt;=QUARTILE(Data!K$4:K$195,3),3,4)))</f>
        <v>2</v>
      </c>
      <c r="L44" s="15">
        <f>IF(Data!L44&lt;=QUARTILE(Data!L$4:L$195,1),1,IF(Data!L44&lt;=MEDIAN(Data!L$4:L$195),2,IF(Data!L44&lt;=QUARTILE(Data!L$4:L$195,3),3,4)))</f>
        <v>2</v>
      </c>
      <c r="M44" s="14">
        <f>IF(Data!M44&lt;=QUARTILE(Data!M$4:M$195,1),1,IF(Data!M44&lt;=MEDIAN(Data!M$4:M$195),2,IF(Data!M44&lt;=QUARTILE(Data!M$4:M$195,3),3,4)))</f>
        <v>3</v>
      </c>
      <c r="N44" s="19">
        <f>IF(Data!N44&lt;=QUARTILE(Data!N$4:N$195,1),1,IF(Data!N44&lt;=MEDIAN(Data!N$4:N$195),2,IF(Data!N44&lt;=QUARTILE(Data!N$4:N$195,3),3,4)))</f>
        <v>3</v>
      </c>
      <c r="O44" s="19">
        <f>IF(Data!O44&lt;=QUARTILE(Data!O$4:O$195,1),1,IF(Data!O44&lt;=MEDIAN(Data!O$4:O$195),2,IF(Data!O44&lt;=QUARTILE(Data!O$4:O$195,3),3,4)))</f>
        <v>3</v>
      </c>
      <c r="P44" s="19">
        <f>IF(Data!P44&lt;=QUARTILE(Data!P$4:P$195,1),1,IF(Data!P44&lt;=MEDIAN(Data!P$4:P$195),2,IF(Data!P44&lt;=QUARTILE(Data!P$4:P$195,3),3,4)))</f>
        <v>4</v>
      </c>
      <c r="Q44" s="19">
        <f>IF(Data!Q44&lt;=QUARTILE(Data!Q$4:Q$195,1),1,IF(Data!Q44&lt;=MEDIAN(Data!Q$4:Q$195),2,IF(Data!Q44&lt;=QUARTILE(Data!Q$4:Q$195,3),3,4)))</f>
        <v>2</v>
      </c>
      <c r="R44" s="19">
        <f>IF(Data!R44&lt;=QUARTILE(Data!R$4:R$195,1),1,IF(Data!R44&lt;=MEDIAN(Data!R$4:R$195),2,IF(Data!R44&lt;=QUARTILE(Data!R$4:R$195,3),3,4)))</f>
        <v>3</v>
      </c>
      <c r="S44" s="19">
        <f>IF(Data!S44&lt;=QUARTILE(Data!S$4:S$195,1),1,IF(Data!S44&lt;=MEDIAN(Data!S$4:S$195),2,IF(Data!S44&lt;=QUARTILE(Data!S$4:S$195,3),3,4)))</f>
        <v>2</v>
      </c>
      <c r="T44" s="15">
        <f>IF(Data!T44&lt;=QUARTILE(Data!T$4:T$195,1),1,IF(Data!T44&lt;=MEDIAN(Data!T$4:T$195),2,IF(Data!T44&lt;=QUARTILE(Data!T$4:T$195,3),3,4)))</f>
        <v>2</v>
      </c>
      <c r="U44" s="14">
        <f>IF(Data!U44&lt;=QUARTILE(Data!U$4:U$195,1),1,IF(Data!U44&lt;=MEDIAN(Data!U$4:U$195),2,IF(Data!U44&lt;=QUARTILE(Data!U$4:U$195,3),3,4)))</f>
        <v>1</v>
      </c>
      <c r="V44" s="19">
        <f>IF(Data!V44&lt;=QUARTILE(Data!V$4:V$195,1),1,IF(Data!V44&lt;=MEDIAN(Data!V$4:V$195),2,IF(Data!V44&lt;=QUARTILE(Data!V$4:V$195,3),3,4)))</f>
        <v>2</v>
      </c>
      <c r="W44" s="19">
        <f>IF(Data!W44&lt;=QUARTILE(Data!W$4:W$195,1),1,IF(Data!W44&lt;=MEDIAN(Data!W$4:W$195),2,IF(Data!W44&lt;=QUARTILE(Data!W$4:W$195,3),3,4)))</f>
        <v>2</v>
      </c>
      <c r="X44" s="15">
        <f>IF(Data!X44&lt;=QUARTILE(Data!X$4:X$195,1),1,IF(Data!X44&lt;=MEDIAN(Data!X$4:X$195),2,IF(Data!X44&lt;=QUARTILE(Data!X$4:X$195,3),3,4)))</f>
        <v>3</v>
      </c>
      <c r="Y44" s="14">
        <f>IF(Data!Y44&lt;=QUARTILE(Data!Y$4:Y$195,1),1,IF(Data!Y44&lt;=MEDIAN(Data!Y$4:Y$195),2,IF(Data!Y44&lt;=QUARTILE(Data!Y$4:Y$195,3),3,4)))</f>
        <v>4</v>
      </c>
      <c r="Z44" s="15">
        <f>IF(Data!Z44&lt;=QUARTILE(Data!Z$4:Z$195,1),1,IF(Data!Z44&lt;=MEDIAN(Data!Z$4:Z$195),2,IF(Data!Z44&lt;=QUARTILE(Data!Z$4:Z$195,3),3,4)))</f>
        <v>4</v>
      </c>
      <c r="AA44" s="14">
        <f>IF(Data!AA44&lt;=QUARTILE(Data!AA$4:AA$195,1),1,IF(Data!AA44&lt;=MEDIAN(Data!AA$4:AA$195),2,IF(Data!AA44&lt;=QUARTILE(Data!AA$4:AA$195,3),3,4)))</f>
        <v>3</v>
      </c>
      <c r="AB44" s="15">
        <f>IF(Data!AB44&lt;=QUARTILE(Data!AB$4:AB$195,1),1,IF(Data!AB44&lt;=MEDIAN(Data!AB$4:AB$195),2,IF(Data!AB44&lt;=QUARTILE(Data!AB$4:AB$195,3),3,4)))</f>
        <v>2</v>
      </c>
      <c r="AC44" s="14">
        <f>IF(Data!AC44&lt;=QUARTILE(Data!AC$4:AC$195,1),1,IF(Data!AC44&lt;=MEDIAN(Data!AC$4:AC$195),2,IF(Data!AC44&lt;=QUARTILE(Data!AC$4:AC$195,3),3,4)))</f>
        <v>3</v>
      </c>
      <c r="AD44" s="15">
        <f>IF(Data!AD44&lt;=QUARTILE(Data!AD$4:AD$195,1),1,IF(Data!AD44&lt;=MEDIAN(Data!AD$4:AD$195),2,IF(Data!AD44&lt;=QUARTILE(Data!AD$4:AD$195,3),3,4)))</f>
        <v>3</v>
      </c>
      <c r="AE44" s="4">
        <f>IF(Data!AE44&lt;=QUARTILE(Data!AE$4:AE$195,1),1,IF(Data!AE44&lt;=MEDIAN(Data!AE$4:AE$195),2,IF(Data!AE44&lt;=QUARTILE(Data!AE$4:AE$195,3),3,4)))</f>
        <v>1</v>
      </c>
      <c r="AF44" s="3">
        <f>IF(Data!AF44&lt;=QUARTILE(Data!AF$4:AF$195,1),1,IF(Data!AF44&lt;=MEDIAN(Data!AF$4:AF$195),2,IF(Data!AF44&lt;=QUARTILE(Data!AF$4:AF$195,3),3,4)))</f>
        <v>1</v>
      </c>
      <c r="AG44" s="3">
        <f>IF(Data!AG44&lt;=QUARTILE(Data!AG$4:AG$195,1),1,IF(Data!AG44&lt;=MEDIAN(Data!AG$4:AG$195),2,IF(Data!AG44&lt;=QUARTILE(Data!AG$4:AG$195,3),3,4)))</f>
        <v>3</v>
      </c>
      <c r="AH44" s="3">
        <f>IF(Data!AH44&lt;=QUARTILE(Data!AH$4:AH$195,1),1,IF(Data!AH44&lt;=MEDIAN(Data!AH$4:AH$195),2,IF(Data!AH44&lt;=QUARTILE(Data!AH$4:AH$195,3),3,4)))</f>
        <v>4</v>
      </c>
      <c r="AI44" s="14">
        <f>IF(Data!AI44&lt;=QUARTILE(Data!AI$4:AI$195,1),1,IF(Data!AI44&lt;=MEDIAN(Data!AI$4:AI$195),2,IF(Data!AI44&lt;=QUARTILE(Data!AI$4:AI$195,3),3,4)))</f>
        <v>3</v>
      </c>
      <c r="AJ44" s="15">
        <f>IF(Data!AJ44&lt;=QUARTILE(Data!AJ$4:AJ$195,1),1,IF(Data!AJ44&lt;=MEDIAN(Data!AJ$4:AJ$195),2,IF(Data!AJ44&lt;=QUARTILE(Data!AJ$4:AJ$195,3),3,4)))</f>
        <v>3</v>
      </c>
      <c r="AK44" s="14">
        <f>IF(Data!AK44&lt;=QUARTILE(Data!AK$4:AK$195,1),1,IF(Data!AK44&lt;=MEDIAN(Data!AK$4:AK$195),2,IF(Data!AK44&lt;=QUARTILE(Data!AK$4:AK$195,3),3,4)))</f>
        <v>3</v>
      </c>
      <c r="AL44" s="19">
        <f>IF(Data!AL44&lt;=QUARTILE(Data!AL$4:AL$195,1),1,IF(Data!AL44&lt;=MEDIAN(Data!AL$4:AL$195),2,IF(Data!AL44&lt;=QUARTILE(Data!AL$4:AL$195,3),3,4)))</f>
        <v>1</v>
      </c>
      <c r="AM44" s="19">
        <f>IF(Data!AM44&lt;=QUARTILE(Data!AM$4:AM$195,1),1,IF(Data!AM44&lt;=MEDIAN(Data!AM$4:AM$195),2,IF(Data!AM44&lt;=QUARTILE(Data!AM$4:AM$195,3),3,4)))</f>
        <v>1</v>
      </c>
      <c r="AN44" s="15">
        <f>IF(Data!AN44&lt;=QUARTILE(Data!AN$4:AN$195,1),1,IF(Data!AN44&lt;=MEDIAN(Data!AN$4:AN$195),2,IF(Data!AN44&lt;=QUARTILE(Data!AN$4:AN$195,3),3,4)))</f>
        <v>1</v>
      </c>
      <c r="AO44" s="14">
        <f>IF(Data!AO44&lt;=QUARTILE(Data!AO$4:AO$195,1),1,IF(Data!AO44&lt;=MEDIAN(Data!AO$4:AO$195),2,IF(Data!AO44&lt;=QUARTILE(Data!AO$4:AO$195,3),3,4)))</f>
        <v>2</v>
      </c>
      <c r="AP44" s="19">
        <f>IF(Data!AP44&lt;=QUARTILE(Data!AP$4:AP$195,1),1,IF(Data!AP44&lt;=MEDIAN(Data!AP$4:AP$195),2,IF(Data!AP44&lt;=QUARTILE(Data!AP$4:AP$195,3),3,4)))</f>
        <v>2</v>
      </c>
      <c r="AQ44" s="19">
        <f>IF(Data!AQ44&lt;=QUARTILE(Data!AQ$4:AQ$195,1),1,IF(Data!AQ44&lt;=MEDIAN(Data!AQ$4:AQ$195),2,IF(Data!AQ44&lt;=QUARTILE(Data!AQ$4:AQ$195,3),3,4)))</f>
        <v>1</v>
      </c>
      <c r="AR44" s="19">
        <f>IF(Data!AR44&lt;=QUARTILE(Data!AR$4:AR$195,1),1,IF(Data!AR44&lt;=MEDIAN(Data!AR$4:AR$195),2,IF(Data!AR44&lt;=QUARTILE(Data!AR$4:AR$195,3),3,4)))</f>
        <v>2</v>
      </c>
      <c r="AS44" s="19">
        <f>IF(Data!AS44&lt;=QUARTILE(Data!AS$4:AS$195,1),1,IF(Data!AS44&lt;=MEDIAN(Data!AS$4:AS$195),2,IF(Data!AS44&lt;=QUARTILE(Data!AS$4:AS$195,3),3,4)))</f>
        <v>2</v>
      </c>
      <c r="AT44" s="19">
        <f>IF(Data!AT44&lt;=QUARTILE(Data!AT$4:AT$195,1),1,IF(Data!AT44&lt;=MEDIAN(Data!AT$4:AT$195),2,IF(Data!AT44&lt;=QUARTILE(Data!AT$4:AT$195,3),3,4)))</f>
        <v>4</v>
      </c>
      <c r="AU44" s="15">
        <f>IF(Data!AU44&lt;=QUARTILE(Data!AU$4:AU$195,1),1,IF(Data!AU44&lt;=MEDIAN(Data!AU$4:AU$195),2,IF(Data!AU44&lt;=QUARTILE(Data!AU$4:AU$195,3),3,4)))</f>
        <v>4</v>
      </c>
      <c r="AV44" s="14">
        <f>IF(Data!AV44&lt;=QUARTILE(Data!AV$4:AV$195,1),1,IF(Data!AV44&lt;=MEDIAN(Data!AV$4:AV$195),2,IF(Data!AV44&lt;=QUARTILE(Data!AV$4:AV$195,3),3,4)))</f>
        <v>1</v>
      </c>
      <c r="AW44" s="19">
        <f>IF(Data!AW44&lt;=QUARTILE(Data!AW$4:AW$195,1),1,IF(Data!AW44&lt;=MEDIAN(Data!AW$4:AW$195),2,IF(Data!AW44&lt;=QUARTILE(Data!AW$4:AW$195,3),3,4)))</f>
        <v>2</v>
      </c>
      <c r="AX44" s="19">
        <f>IF(Data!AX44&lt;=QUARTILE(Data!AX$4:AX$195,1),1,IF(Data!AX44&lt;=MEDIAN(Data!AX$4:AX$195),2,IF(Data!AX44&lt;=QUARTILE(Data!AX$4:AX$195,3),3,4)))</f>
        <v>2</v>
      </c>
      <c r="AY44" s="15">
        <f>IF(Data!AY44&lt;=QUARTILE(Data!AY$4:AY$195,1),1,IF(Data!AY44&lt;=MEDIAN(Data!AY$4:AY$195),2,IF(Data!AY44&lt;=QUARTILE(Data!AY$4:AY$195,3),3,4)))</f>
        <v>2</v>
      </c>
      <c r="AZ44" s="14">
        <f>IF(Data!AZ44&lt;=QUARTILE(Data!AZ$4:AZ$195,1),1,IF(Data!AZ44&lt;=MEDIAN(Data!AZ$4:AZ$195),2,IF(Data!AZ44&lt;=QUARTILE(Data!AZ$4:AZ$195,3),3,4)))</f>
        <v>1</v>
      </c>
      <c r="BA44" s="15">
        <f>IF(Data!BA44&lt;=QUARTILE(Data!BA$4:BA$195,1),1,IF(Data!BA44&lt;=MEDIAN(Data!BA$4:BA$195),2,IF(Data!BA44&lt;=QUARTILE(Data!BA$4:BA$195,3),3,4)))</f>
        <v>3</v>
      </c>
    </row>
    <row r="45" spans="1:53" x14ac:dyDescent="0.25">
      <c r="A45" s="4" t="s">
        <v>16</v>
      </c>
      <c r="B45" s="40">
        <v>2008</v>
      </c>
      <c r="C45" s="14">
        <v>8</v>
      </c>
      <c r="D45" s="19">
        <v>8</v>
      </c>
      <c r="E45" s="74" t="s">
        <v>96</v>
      </c>
      <c r="F45" s="19">
        <v>-5.8</v>
      </c>
      <c r="G45" s="19">
        <v>0.7</v>
      </c>
      <c r="H45" s="15">
        <v>-6.5</v>
      </c>
      <c r="I45" s="14">
        <f>IF(Data!I45&lt;=QUARTILE(Data!I$4:I$195,1),1,IF(Data!I45&lt;=MEDIAN(Data!I$4:I$195),2,IF(Data!I45&lt;=QUARTILE(Data!I$4:I$195,3),3,4)))</f>
        <v>3</v>
      </c>
      <c r="J45" s="19">
        <f>IF(Data!J45&lt;=QUARTILE(Data!J$4:J$195,1),1,IF(Data!J45&lt;=MEDIAN(Data!J$4:J$195),2,IF(Data!J45&lt;=QUARTILE(Data!J$4:J$195,3),3,4)))</f>
        <v>4</v>
      </c>
      <c r="K45" s="19">
        <f>IF(Data!K45&lt;=QUARTILE(Data!K$4:K$195,1),1,IF(Data!K45&lt;=MEDIAN(Data!K$4:K$195),2,IF(Data!K45&lt;=QUARTILE(Data!K$4:K$195,3),3,4)))</f>
        <v>3</v>
      </c>
      <c r="L45" s="15">
        <f>IF(Data!L45&lt;=QUARTILE(Data!L$4:L$195,1),1,IF(Data!L45&lt;=MEDIAN(Data!L$4:L$195),2,IF(Data!L45&lt;=QUARTILE(Data!L$4:L$195,3),3,4)))</f>
        <v>4</v>
      </c>
      <c r="M45" s="14">
        <f>IF(Data!M45&lt;=QUARTILE(Data!M$4:M$195,1),1,IF(Data!M45&lt;=MEDIAN(Data!M$4:M$195),2,IF(Data!M45&lt;=QUARTILE(Data!M$4:M$195,3),3,4)))</f>
        <v>4</v>
      </c>
      <c r="N45" s="19">
        <f>IF(Data!N45&lt;=QUARTILE(Data!N$4:N$195,1),1,IF(Data!N45&lt;=MEDIAN(Data!N$4:N$195),2,IF(Data!N45&lt;=QUARTILE(Data!N$4:N$195,3),3,4)))</f>
        <v>4</v>
      </c>
      <c r="O45" s="19">
        <f>IF(Data!O45&lt;=QUARTILE(Data!O$4:O$195,1),1,IF(Data!O45&lt;=MEDIAN(Data!O$4:O$195),2,IF(Data!O45&lt;=QUARTILE(Data!O$4:O$195,3),3,4)))</f>
        <v>4</v>
      </c>
      <c r="P45" s="19">
        <f>IF(Data!P45&lt;=QUARTILE(Data!P$4:P$195,1),1,IF(Data!P45&lt;=MEDIAN(Data!P$4:P$195),2,IF(Data!P45&lt;=QUARTILE(Data!P$4:P$195,3),3,4)))</f>
        <v>3</v>
      </c>
      <c r="Q45" s="19">
        <f>IF(Data!Q45&lt;=QUARTILE(Data!Q$4:Q$195,1),1,IF(Data!Q45&lt;=MEDIAN(Data!Q$4:Q$195),2,IF(Data!Q45&lt;=QUARTILE(Data!Q$4:Q$195,3),3,4)))</f>
        <v>4</v>
      </c>
      <c r="R45" s="19">
        <f>IF(Data!R45&lt;=QUARTILE(Data!R$4:R$195,1),1,IF(Data!R45&lt;=MEDIAN(Data!R$4:R$195),2,IF(Data!R45&lt;=QUARTILE(Data!R$4:R$195,3),3,4)))</f>
        <v>3</v>
      </c>
      <c r="S45" s="19">
        <f>IF(Data!S45&lt;=QUARTILE(Data!S$4:S$195,1),1,IF(Data!S45&lt;=MEDIAN(Data!S$4:S$195),2,IF(Data!S45&lt;=QUARTILE(Data!S$4:S$195,3),3,4)))</f>
        <v>1</v>
      </c>
      <c r="T45" s="15">
        <f>IF(Data!T45&lt;=QUARTILE(Data!T$4:T$195,1),1,IF(Data!T45&lt;=MEDIAN(Data!T$4:T$195),2,IF(Data!T45&lt;=QUARTILE(Data!T$4:T$195,3),3,4)))</f>
        <v>1</v>
      </c>
      <c r="U45" s="14">
        <f>IF(Data!U45&lt;=QUARTILE(Data!U$4:U$195,1),1,IF(Data!U45&lt;=MEDIAN(Data!U$4:U$195),2,IF(Data!U45&lt;=QUARTILE(Data!U$4:U$195,3),3,4)))</f>
        <v>1</v>
      </c>
      <c r="V45" s="19">
        <f>IF(Data!V45&lt;=QUARTILE(Data!V$4:V$195,1),1,IF(Data!V45&lt;=MEDIAN(Data!V$4:V$195),2,IF(Data!V45&lt;=QUARTILE(Data!V$4:V$195,3),3,4)))</f>
        <v>3</v>
      </c>
      <c r="W45" s="19">
        <f>IF(Data!W45&lt;=QUARTILE(Data!W$4:W$195,1),1,IF(Data!W45&lt;=MEDIAN(Data!W$4:W$195),2,IF(Data!W45&lt;=QUARTILE(Data!W$4:W$195,3),3,4)))</f>
        <v>3</v>
      </c>
      <c r="X45" s="15">
        <f>IF(Data!X45&lt;=QUARTILE(Data!X$4:X$195,1),1,IF(Data!X45&lt;=MEDIAN(Data!X$4:X$195),2,IF(Data!X45&lt;=QUARTILE(Data!X$4:X$195,3),3,4)))</f>
        <v>3</v>
      </c>
      <c r="Y45" s="14">
        <f>IF(Data!Y45&lt;=QUARTILE(Data!Y$4:Y$195,1),1,IF(Data!Y45&lt;=MEDIAN(Data!Y$4:Y$195),2,IF(Data!Y45&lt;=QUARTILE(Data!Y$4:Y$195,3),3,4)))</f>
        <v>3</v>
      </c>
      <c r="Z45" s="15">
        <f>IF(Data!Z45&lt;=QUARTILE(Data!Z$4:Z$195,1),1,IF(Data!Z45&lt;=MEDIAN(Data!Z$4:Z$195),2,IF(Data!Z45&lt;=QUARTILE(Data!Z$4:Z$195,3),3,4)))</f>
        <v>4</v>
      </c>
      <c r="AA45" s="14">
        <f>IF(Data!AA45&lt;=QUARTILE(Data!AA$4:AA$195,1),1,IF(Data!AA45&lt;=MEDIAN(Data!AA$4:AA$195),2,IF(Data!AA45&lt;=QUARTILE(Data!AA$4:AA$195,3),3,4)))</f>
        <v>1</v>
      </c>
      <c r="AB45" s="15">
        <f>IF(Data!AB45&lt;=QUARTILE(Data!AB$4:AB$195,1),1,IF(Data!AB45&lt;=MEDIAN(Data!AB$4:AB$195),2,IF(Data!AB45&lt;=QUARTILE(Data!AB$4:AB$195,3),3,4)))</f>
        <v>1</v>
      </c>
      <c r="AC45" s="14">
        <f>IF(Data!AC45&lt;=QUARTILE(Data!AC$4:AC$195,1),1,IF(Data!AC45&lt;=MEDIAN(Data!AC$4:AC$195),2,IF(Data!AC45&lt;=QUARTILE(Data!AC$4:AC$195,3),3,4)))</f>
        <v>3</v>
      </c>
      <c r="AD45" s="15">
        <f>IF(Data!AD45&lt;=QUARTILE(Data!AD$4:AD$195,1),1,IF(Data!AD45&lt;=MEDIAN(Data!AD$4:AD$195),2,IF(Data!AD45&lt;=QUARTILE(Data!AD$4:AD$195,3),3,4)))</f>
        <v>3</v>
      </c>
      <c r="AE45" s="4">
        <f>IF(Data!AE45&lt;=QUARTILE(Data!AE$4:AE$195,1),1,IF(Data!AE45&lt;=MEDIAN(Data!AE$4:AE$195),2,IF(Data!AE45&lt;=QUARTILE(Data!AE$4:AE$195,3),3,4)))</f>
        <v>2</v>
      </c>
      <c r="AF45" s="3">
        <f>IF(Data!AF45&lt;=QUARTILE(Data!AF$4:AF$195,1),1,IF(Data!AF45&lt;=MEDIAN(Data!AF$4:AF$195),2,IF(Data!AF45&lt;=QUARTILE(Data!AF$4:AF$195,3),3,4)))</f>
        <v>2</v>
      </c>
      <c r="AG45" s="3">
        <f>IF(Data!AG45&lt;=QUARTILE(Data!AG$4:AG$195,1),1,IF(Data!AG45&lt;=MEDIAN(Data!AG$4:AG$195),2,IF(Data!AG45&lt;=QUARTILE(Data!AG$4:AG$195,3),3,4)))</f>
        <v>4</v>
      </c>
      <c r="AH45" s="3">
        <f>IF(Data!AH45&lt;=QUARTILE(Data!AH$4:AH$195,1),1,IF(Data!AH45&lt;=MEDIAN(Data!AH$4:AH$195),2,IF(Data!AH45&lt;=QUARTILE(Data!AH$4:AH$195,3),3,4)))</f>
        <v>3</v>
      </c>
      <c r="AI45" s="14">
        <f>IF(Data!AI45&lt;=QUARTILE(Data!AI$4:AI$195,1),1,IF(Data!AI45&lt;=MEDIAN(Data!AI$4:AI$195),2,IF(Data!AI45&lt;=QUARTILE(Data!AI$4:AI$195,3),3,4)))</f>
        <v>1</v>
      </c>
      <c r="AJ45" s="15">
        <f>IF(Data!AJ45&lt;=QUARTILE(Data!AJ$4:AJ$195,1),1,IF(Data!AJ45&lt;=MEDIAN(Data!AJ$4:AJ$195),2,IF(Data!AJ45&lt;=QUARTILE(Data!AJ$4:AJ$195,3),3,4)))</f>
        <v>1</v>
      </c>
      <c r="AK45" s="14">
        <f>IF(Data!AK45&lt;=QUARTILE(Data!AK$4:AK$195,1),1,IF(Data!AK45&lt;=MEDIAN(Data!AK$4:AK$195),2,IF(Data!AK45&lt;=QUARTILE(Data!AK$4:AK$195,3),3,4)))</f>
        <v>4</v>
      </c>
      <c r="AL45" s="19">
        <f>IF(Data!AL45&lt;=QUARTILE(Data!AL$4:AL$195,1),1,IF(Data!AL45&lt;=MEDIAN(Data!AL$4:AL$195),2,IF(Data!AL45&lt;=QUARTILE(Data!AL$4:AL$195,3),3,4)))</f>
        <v>4</v>
      </c>
      <c r="AM45" s="19">
        <f>IF(Data!AM45&lt;=QUARTILE(Data!AM$4:AM$195,1),1,IF(Data!AM45&lt;=MEDIAN(Data!AM$4:AM$195),2,IF(Data!AM45&lt;=QUARTILE(Data!AM$4:AM$195,3),3,4)))</f>
        <v>2</v>
      </c>
      <c r="AN45" s="15">
        <f>IF(Data!AN45&lt;=QUARTILE(Data!AN$4:AN$195,1),1,IF(Data!AN45&lt;=MEDIAN(Data!AN$4:AN$195),2,IF(Data!AN45&lt;=QUARTILE(Data!AN$4:AN$195,3),3,4)))</f>
        <v>4</v>
      </c>
      <c r="AO45" s="14">
        <f>IF(Data!AO45&lt;=QUARTILE(Data!AO$4:AO$195,1),1,IF(Data!AO45&lt;=MEDIAN(Data!AO$4:AO$195),2,IF(Data!AO45&lt;=QUARTILE(Data!AO$4:AO$195,3),3,4)))</f>
        <v>3</v>
      </c>
      <c r="AP45" s="19">
        <f>IF(Data!AP45&lt;=QUARTILE(Data!AP$4:AP$195,1),1,IF(Data!AP45&lt;=MEDIAN(Data!AP$4:AP$195),2,IF(Data!AP45&lt;=QUARTILE(Data!AP$4:AP$195,3),3,4)))</f>
        <v>1</v>
      </c>
      <c r="AQ45" s="19">
        <f>IF(Data!AQ45&lt;=QUARTILE(Data!AQ$4:AQ$195,1),1,IF(Data!AQ45&lt;=MEDIAN(Data!AQ$4:AQ$195),2,IF(Data!AQ45&lt;=QUARTILE(Data!AQ$4:AQ$195,3),3,4)))</f>
        <v>4</v>
      </c>
      <c r="AR45" s="19">
        <f>IF(Data!AR45&lt;=QUARTILE(Data!AR$4:AR$195,1),1,IF(Data!AR45&lt;=MEDIAN(Data!AR$4:AR$195),2,IF(Data!AR45&lt;=QUARTILE(Data!AR$4:AR$195,3),3,4)))</f>
        <v>2</v>
      </c>
      <c r="AS45" s="19">
        <f>IF(Data!AS45&lt;=QUARTILE(Data!AS$4:AS$195,1),1,IF(Data!AS45&lt;=MEDIAN(Data!AS$4:AS$195),2,IF(Data!AS45&lt;=QUARTILE(Data!AS$4:AS$195,3),3,4)))</f>
        <v>3</v>
      </c>
      <c r="AT45" s="19">
        <f>IF(Data!AT45&lt;=QUARTILE(Data!AT$4:AT$195,1),1,IF(Data!AT45&lt;=MEDIAN(Data!AT$4:AT$195),2,IF(Data!AT45&lt;=QUARTILE(Data!AT$4:AT$195,3),3,4)))</f>
        <v>1</v>
      </c>
      <c r="AU45" s="15">
        <f>IF(Data!AU45&lt;=QUARTILE(Data!AU$4:AU$195,1),1,IF(Data!AU45&lt;=MEDIAN(Data!AU$4:AU$195),2,IF(Data!AU45&lt;=QUARTILE(Data!AU$4:AU$195,3),3,4)))</f>
        <v>1</v>
      </c>
      <c r="AV45" s="14">
        <f>IF(Data!AV45&lt;=QUARTILE(Data!AV$4:AV$195,1),1,IF(Data!AV45&lt;=MEDIAN(Data!AV$4:AV$195),2,IF(Data!AV45&lt;=QUARTILE(Data!AV$4:AV$195,3),3,4)))</f>
        <v>3</v>
      </c>
      <c r="AW45" s="19">
        <f>IF(Data!AW45&lt;=QUARTILE(Data!AW$4:AW$195,1),1,IF(Data!AW45&lt;=MEDIAN(Data!AW$4:AW$195),2,IF(Data!AW45&lt;=QUARTILE(Data!AW$4:AW$195,3),3,4)))</f>
        <v>4</v>
      </c>
      <c r="AX45" s="19">
        <f>IF(Data!AX45&lt;=QUARTILE(Data!AX$4:AX$195,1),1,IF(Data!AX45&lt;=MEDIAN(Data!AX$4:AX$195),2,IF(Data!AX45&lt;=QUARTILE(Data!AX$4:AX$195,3),3,4)))</f>
        <v>4</v>
      </c>
      <c r="AY45" s="15">
        <f>IF(Data!AY45&lt;=QUARTILE(Data!AY$4:AY$195,1),1,IF(Data!AY45&lt;=MEDIAN(Data!AY$4:AY$195),2,IF(Data!AY45&lt;=QUARTILE(Data!AY$4:AY$195,3),3,4)))</f>
        <v>4</v>
      </c>
      <c r="AZ45" s="14">
        <f>IF(Data!AZ45&lt;=QUARTILE(Data!AZ$4:AZ$195,1),1,IF(Data!AZ45&lt;=MEDIAN(Data!AZ$4:AZ$195),2,IF(Data!AZ45&lt;=QUARTILE(Data!AZ$4:AZ$195,3),3,4)))</f>
        <v>1</v>
      </c>
      <c r="BA45" s="15">
        <f>IF(Data!BA45&lt;=QUARTILE(Data!BA$4:BA$195,1),1,IF(Data!BA45&lt;=MEDIAN(Data!BA$4:BA$195),2,IF(Data!BA45&lt;=QUARTILE(Data!BA$4:BA$195,3),3,4)))</f>
        <v>1</v>
      </c>
    </row>
    <row r="46" spans="1:53" x14ac:dyDescent="0.25">
      <c r="A46" s="4" t="s">
        <v>26</v>
      </c>
      <c r="B46" s="40">
        <v>2008</v>
      </c>
      <c r="C46" s="14">
        <v>0</v>
      </c>
      <c r="D46" s="19">
        <v>16</v>
      </c>
      <c r="E46" s="74" t="s">
        <v>96</v>
      </c>
      <c r="F46" s="19">
        <v>-13.1</v>
      </c>
      <c r="G46" s="19">
        <v>-4</v>
      </c>
      <c r="H46" s="15">
        <v>-9.1</v>
      </c>
      <c r="I46" s="14">
        <f>IF(Data!I46&lt;=QUARTILE(Data!I$4:I$195,1),1,IF(Data!I46&lt;=MEDIAN(Data!I$4:I$195),2,IF(Data!I46&lt;=QUARTILE(Data!I$4:I$195,3),3,4)))</f>
        <v>1</v>
      </c>
      <c r="J46" s="19">
        <f>IF(Data!J46&lt;=QUARTILE(Data!J$4:J$195,1),1,IF(Data!J46&lt;=MEDIAN(Data!J$4:J$195),2,IF(Data!J46&lt;=QUARTILE(Data!J$4:J$195,3),3,4)))</f>
        <v>1</v>
      </c>
      <c r="K46" s="19">
        <f>IF(Data!K46&lt;=QUARTILE(Data!K$4:K$195,1),1,IF(Data!K46&lt;=MEDIAN(Data!K$4:K$195),2,IF(Data!K46&lt;=QUARTILE(Data!K$4:K$195,3),3,4)))</f>
        <v>1</v>
      </c>
      <c r="L46" s="15">
        <f>IF(Data!L46&lt;=QUARTILE(Data!L$4:L$195,1),1,IF(Data!L46&lt;=MEDIAN(Data!L$4:L$195),2,IF(Data!L46&lt;=QUARTILE(Data!L$4:L$195,3),3,4)))</f>
        <v>1</v>
      </c>
      <c r="M46" s="14">
        <f>IF(Data!M46&lt;=QUARTILE(Data!M$4:M$195,1),1,IF(Data!M46&lt;=MEDIAN(Data!M$4:M$195),2,IF(Data!M46&lt;=QUARTILE(Data!M$4:M$195,3),3,4)))</f>
        <v>1</v>
      </c>
      <c r="N46" s="19">
        <f>IF(Data!N46&lt;=QUARTILE(Data!N$4:N$195,1),1,IF(Data!N46&lt;=MEDIAN(Data!N$4:N$195),2,IF(Data!N46&lt;=QUARTILE(Data!N$4:N$195,3),3,4)))</f>
        <v>2</v>
      </c>
      <c r="O46" s="19">
        <f>IF(Data!O46&lt;=QUARTILE(Data!O$4:O$195,1),1,IF(Data!O46&lt;=MEDIAN(Data!O$4:O$195),2,IF(Data!O46&lt;=QUARTILE(Data!O$4:O$195,3),3,4)))</f>
        <v>2</v>
      </c>
      <c r="P46" s="19">
        <f>IF(Data!P46&lt;=QUARTILE(Data!P$4:P$195,1),1,IF(Data!P46&lt;=MEDIAN(Data!P$4:P$195),2,IF(Data!P46&lt;=QUARTILE(Data!P$4:P$195,3),3,4)))</f>
        <v>2</v>
      </c>
      <c r="Q46" s="19">
        <f>IF(Data!Q46&lt;=QUARTILE(Data!Q$4:Q$195,1),1,IF(Data!Q46&lt;=MEDIAN(Data!Q$4:Q$195),2,IF(Data!Q46&lt;=QUARTILE(Data!Q$4:Q$195,3),3,4)))</f>
        <v>1</v>
      </c>
      <c r="R46" s="19">
        <f>IF(Data!R46&lt;=QUARTILE(Data!R$4:R$195,1),1,IF(Data!R46&lt;=MEDIAN(Data!R$4:R$195),2,IF(Data!R46&lt;=QUARTILE(Data!R$4:R$195,3),3,4)))</f>
        <v>1</v>
      </c>
      <c r="S46" s="19">
        <f>IF(Data!S46&lt;=QUARTILE(Data!S$4:S$195,1),1,IF(Data!S46&lt;=MEDIAN(Data!S$4:S$195),2,IF(Data!S46&lt;=QUARTILE(Data!S$4:S$195,3),3,4)))</f>
        <v>4</v>
      </c>
      <c r="T46" s="15">
        <f>IF(Data!T46&lt;=QUARTILE(Data!T$4:T$195,1),1,IF(Data!T46&lt;=MEDIAN(Data!T$4:T$195),2,IF(Data!T46&lt;=QUARTILE(Data!T$4:T$195,3),3,4)))</f>
        <v>4</v>
      </c>
      <c r="U46" s="14">
        <f>IF(Data!U46&lt;=QUARTILE(Data!U$4:U$195,1),1,IF(Data!U46&lt;=MEDIAN(Data!U$4:U$195),2,IF(Data!U46&lt;=QUARTILE(Data!U$4:U$195,3),3,4)))</f>
        <v>1</v>
      </c>
      <c r="V46" s="19">
        <f>IF(Data!V46&lt;=QUARTILE(Data!V$4:V$195,1),1,IF(Data!V46&lt;=MEDIAN(Data!V$4:V$195),2,IF(Data!V46&lt;=QUARTILE(Data!V$4:V$195,3),3,4)))</f>
        <v>1</v>
      </c>
      <c r="W46" s="19">
        <f>IF(Data!W46&lt;=QUARTILE(Data!W$4:W$195,1),1,IF(Data!W46&lt;=MEDIAN(Data!W$4:W$195),2,IF(Data!W46&lt;=QUARTILE(Data!W$4:W$195,3),3,4)))</f>
        <v>2</v>
      </c>
      <c r="X46" s="15">
        <f>IF(Data!X46&lt;=QUARTILE(Data!X$4:X$195,1),1,IF(Data!X46&lt;=MEDIAN(Data!X$4:X$195),2,IF(Data!X46&lt;=QUARTILE(Data!X$4:X$195,3),3,4)))</f>
        <v>1</v>
      </c>
      <c r="Y46" s="14">
        <f>IF(Data!Y46&lt;=QUARTILE(Data!Y$4:Y$195,1),1,IF(Data!Y46&lt;=MEDIAN(Data!Y$4:Y$195),2,IF(Data!Y46&lt;=QUARTILE(Data!Y$4:Y$195,3),3,4)))</f>
        <v>3</v>
      </c>
      <c r="Z46" s="15">
        <f>IF(Data!Z46&lt;=QUARTILE(Data!Z$4:Z$195,1),1,IF(Data!Z46&lt;=MEDIAN(Data!Z$4:Z$195),2,IF(Data!Z46&lt;=QUARTILE(Data!Z$4:Z$195,3),3,4)))</f>
        <v>4</v>
      </c>
      <c r="AA46" s="14">
        <f>IF(Data!AA46&lt;=QUARTILE(Data!AA$4:AA$195,1),1,IF(Data!AA46&lt;=MEDIAN(Data!AA$4:AA$195),2,IF(Data!AA46&lt;=QUARTILE(Data!AA$4:AA$195,3),3,4)))</f>
        <v>1</v>
      </c>
      <c r="AB46" s="15">
        <f>IF(Data!AB46&lt;=QUARTILE(Data!AB$4:AB$195,1),1,IF(Data!AB46&lt;=MEDIAN(Data!AB$4:AB$195),2,IF(Data!AB46&lt;=QUARTILE(Data!AB$4:AB$195,3),3,4)))</f>
        <v>1</v>
      </c>
      <c r="AC46" s="14">
        <f>IF(Data!AC46&lt;=QUARTILE(Data!AC$4:AC$195,1),1,IF(Data!AC46&lt;=MEDIAN(Data!AC$4:AC$195),2,IF(Data!AC46&lt;=QUARTILE(Data!AC$4:AC$195,3),3,4)))</f>
        <v>4</v>
      </c>
      <c r="AD46" s="15">
        <f>IF(Data!AD46&lt;=QUARTILE(Data!AD$4:AD$195,1),1,IF(Data!AD46&lt;=MEDIAN(Data!AD$4:AD$195),2,IF(Data!AD46&lt;=QUARTILE(Data!AD$4:AD$195,3),3,4)))</f>
        <v>4</v>
      </c>
      <c r="AE46" s="4">
        <f>IF(Data!AE46&lt;=QUARTILE(Data!AE$4:AE$195,1),1,IF(Data!AE46&lt;=MEDIAN(Data!AE$4:AE$195),2,IF(Data!AE46&lt;=QUARTILE(Data!AE$4:AE$195,3),3,4)))</f>
        <v>1</v>
      </c>
      <c r="AF46" s="3">
        <f>IF(Data!AF46&lt;=QUARTILE(Data!AF$4:AF$195,1),1,IF(Data!AF46&lt;=MEDIAN(Data!AF$4:AF$195),2,IF(Data!AF46&lt;=QUARTILE(Data!AF$4:AF$195,3),3,4)))</f>
        <v>1</v>
      </c>
      <c r="AG46" s="3">
        <f>IF(Data!AG46&lt;=QUARTILE(Data!AG$4:AG$195,1),1,IF(Data!AG46&lt;=MEDIAN(Data!AG$4:AG$195),2,IF(Data!AG46&lt;=QUARTILE(Data!AG$4:AG$195,3),3,4)))</f>
        <v>3</v>
      </c>
      <c r="AH46" s="3">
        <f>IF(Data!AH46&lt;=QUARTILE(Data!AH$4:AH$195,1),1,IF(Data!AH46&lt;=MEDIAN(Data!AH$4:AH$195),2,IF(Data!AH46&lt;=QUARTILE(Data!AH$4:AH$195,3),3,4)))</f>
        <v>4</v>
      </c>
      <c r="AI46" s="14">
        <f>IF(Data!AI46&lt;=QUARTILE(Data!AI$4:AI$195,1),1,IF(Data!AI46&lt;=MEDIAN(Data!AI$4:AI$195),2,IF(Data!AI46&lt;=QUARTILE(Data!AI$4:AI$195,3),3,4)))</f>
        <v>4</v>
      </c>
      <c r="AJ46" s="15">
        <f>IF(Data!AJ46&lt;=QUARTILE(Data!AJ$4:AJ$195,1),1,IF(Data!AJ46&lt;=MEDIAN(Data!AJ$4:AJ$195),2,IF(Data!AJ46&lt;=QUARTILE(Data!AJ$4:AJ$195,3),3,4)))</f>
        <v>4</v>
      </c>
      <c r="AK46" s="14">
        <f>IF(Data!AK46&lt;=QUARTILE(Data!AK$4:AK$195,1),1,IF(Data!AK46&lt;=MEDIAN(Data!AK$4:AK$195),2,IF(Data!AK46&lt;=QUARTILE(Data!AK$4:AK$195,3),3,4)))</f>
        <v>4</v>
      </c>
      <c r="AL46" s="19">
        <f>IF(Data!AL46&lt;=QUARTILE(Data!AL$4:AL$195,1),1,IF(Data!AL46&lt;=MEDIAN(Data!AL$4:AL$195),2,IF(Data!AL46&lt;=QUARTILE(Data!AL$4:AL$195,3),3,4)))</f>
        <v>4</v>
      </c>
      <c r="AM46" s="19">
        <f>IF(Data!AM46&lt;=QUARTILE(Data!AM$4:AM$195,1),1,IF(Data!AM46&lt;=MEDIAN(Data!AM$4:AM$195),2,IF(Data!AM46&lt;=QUARTILE(Data!AM$4:AM$195,3),3,4)))</f>
        <v>3</v>
      </c>
      <c r="AN46" s="15">
        <f>IF(Data!AN46&lt;=QUARTILE(Data!AN$4:AN$195,1),1,IF(Data!AN46&lt;=MEDIAN(Data!AN$4:AN$195),2,IF(Data!AN46&lt;=QUARTILE(Data!AN$4:AN$195,3),3,4)))</f>
        <v>4</v>
      </c>
      <c r="AO46" s="14">
        <f>IF(Data!AO46&lt;=QUARTILE(Data!AO$4:AO$195,1),1,IF(Data!AO46&lt;=MEDIAN(Data!AO$4:AO$195),2,IF(Data!AO46&lt;=QUARTILE(Data!AO$4:AO$195,3),3,4)))</f>
        <v>2</v>
      </c>
      <c r="AP46" s="19">
        <f>IF(Data!AP46&lt;=QUARTILE(Data!AP$4:AP$195,1),1,IF(Data!AP46&lt;=MEDIAN(Data!AP$4:AP$195),2,IF(Data!AP46&lt;=QUARTILE(Data!AP$4:AP$195,3),3,4)))</f>
        <v>1</v>
      </c>
      <c r="AQ46" s="19">
        <f>IF(Data!AQ46&lt;=QUARTILE(Data!AQ$4:AQ$195,1),1,IF(Data!AQ46&lt;=MEDIAN(Data!AQ$4:AQ$195),2,IF(Data!AQ46&lt;=QUARTILE(Data!AQ$4:AQ$195,3),3,4)))</f>
        <v>4</v>
      </c>
      <c r="AR46" s="19">
        <f>IF(Data!AR46&lt;=QUARTILE(Data!AR$4:AR$195,1),1,IF(Data!AR46&lt;=MEDIAN(Data!AR$4:AR$195),2,IF(Data!AR46&lt;=QUARTILE(Data!AR$4:AR$195,3),3,4)))</f>
        <v>3</v>
      </c>
      <c r="AS46" s="19">
        <f>IF(Data!AS46&lt;=QUARTILE(Data!AS$4:AS$195,1),1,IF(Data!AS46&lt;=MEDIAN(Data!AS$4:AS$195),2,IF(Data!AS46&lt;=QUARTILE(Data!AS$4:AS$195,3),3,4)))</f>
        <v>4</v>
      </c>
      <c r="AT46" s="19">
        <f>IF(Data!AT46&lt;=QUARTILE(Data!AT$4:AT$195,1),1,IF(Data!AT46&lt;=MEDIAN(Data!AT$4:AT$195),2,IF(Data!AT46&lt;=QUARTILE(Data!AT$4:AT$195,3),3,4)))</f>
        <v>1</v>
      </c>
      <c r="AU46" s="15">
        <f>IF(Data!AU46&lt;=QUARTILE(Data!AU$4:AU$195,1),1,IF(Data!AU46&lt;=MEDIAN(Data!AU$4:AU$195),2,IF(Data!AU46&lt;=QUARTILE(Data!AU$4:AU$195,3),3,4)))</f>
        <v>2</v>
      </c>
      <c r="AV46" s="14">
        <f>IF(Data!AV46&lt;=QUARTILE(Data!AV$4:AV$195,1),1,IF(Data!AV46&lt;=MEDIAN(Data!AV$4:AV$195),2,IF(Data!AV46&lt;=QUARTILE(Data!AV$4:AV$195,3),3,4)))</f>
        <v>4</v>
      </c>
      <c r="AW46" s="19">
        <f>IF(Data!AW46&lt;=QUARTILE(Data!AW$4:AW$195,1),1,IF(Data!AW46&lt;=MEDIAN(Data!AW$4:AW$195),2,IF(Data!AW46&lt;=QUARTILE(Data!AW$4:AW$195,3),3,4)))</f>
        <v>4</v>
      </c>
      <c r="AX46" s="19">
        <f>IF(Data!AX46&lt;=QUARTILE(Data!AX$4:AX$195,1),1,IF(Data!AX46&lt;=MEDIAN(Data!AX$4:AX$195),2,IF(Data!AX46&lt;=QUARTILE(Data!AX$4:AX$195,3),3,4)))</f>
        <v>4</v>
      </c>
      <c r="AY46" s="15">
        <f>IF(Data!AY46&lt;=QUARTILE(Data!AY$4:AY$195,1),1,IF(Data!AY46&lt;=MEDIAN(Data!AY$4:AY$195),2,IF(Data!AY46&lt;=QUARTILE(Data!AY$4:AY$195,3),3,4)))</f>
        <v>4</v>
      </c>
      <c r="AZ46" s="14">
        <f>IF(Data!AZ46&lt;=QUARTILE(Data!AZ$4:AZ$195,1),1,IF(Data!AZ46&lt;=MEDIAN(Data!AZ$4:AZ$195),2,IF(Data!AZ46&lt;=QUARTILE(Data!AZ$4:AZ$195,3),3,4)))</f>
        <v>1</v>
      </c>
      <c r="BA46" s="15">
        <f>IF(Data!BA46&lt;=QUARTILE(Data!BA$4:BA$195,1),1,IF(Data!BA46&lt;=MEDIAN(Data!BA$4:BA$195),2,IF(Data!BA46&lt;=QUARTILE(Data!BA$4:BA$195,3),3,4)))</f>
        <v>4</v>
      </c>
    </row>
    <row r="47" spans="1:53" x14ac:dyDescent="0.25">
      <c r="A47" s="4" t="s">
        <v>24</v>
      </c>
      <c r="B47" s="40">
        <v>2008</v>
      </c>
      <c r="C47" s="14">
        <v>6</v>
      </c>
      <c r="D47" s="19">
        <v>10</v>
      </c>
      <c r="E47" s="74" t="s">
        <v>96</v>
      </c>
      <c r="F47" s="19">
        <v>2.9</v>
      </c>
      <c r="G47" s="19">
        <v>4.0999999999999996</v>
      </c>
      <c r="H47" s="15">
        <v>-1.2</v>
      </c>
      <c r="I47" s="14">
        <f>IF(Data!I47&lt;=QUARTILE(Data!I$4:I$195,1),1,IF(Data!I47&lt;=MEDIAN(Data!I$4:I$195),2,IF(Data!I47&lt;=QUARTILE(Data!I$4:I$195,3),3,4)))</f>
        <v>4</v>
      </c>
      <c r="J47" s="19">
        <f>IF(Data!J47&lt;=QUARTILE(Data!J$4:J$195,1),1,IF(Data!J47&lt;=MEDIAN(Data!J$4:J$195),2,IF(Data!J47&lt;=QUARTILE(Data!J$4:J$195,3),3,4)))</f>
        <v>3</v>
      </c>
      <c r="K47" s="19">
        <f>IF(Data!K47&lt;=QUARTILE(Data!K$4:K$195,1),1,IF(Data!K47&lt;=MEDIAN(Data!K$4:K$195),2,IF(Data!K47&lt;=QUARTILE(Data!K$4:K$195,3),3,4)))</f>
        <v>3</v>
      </c>
      <c r="L47" s="15">
        <f>IF(Data!L47&lt;=QUARTILE(Data!L$4:L$195,1),1,IF(Data!L47&lt;=MEDIAN(Data!L$4:L$195),2,IF(Data!L47&lt;=QUARTILE(Data!L$4:L$195,3),3,4)))</f>
        <v>3</v>
      </c>
      <c r="M47" s="14">
        <f>IF(Data!M47&lt;=QUARTILE(Data!M$4:M$195,1),1,IF(Data!M47&lt;=MEDIAN(Data!M$4:M$195),2,IF(Data!M47&lt;=QUARTILE(Data!M$4:M$195,3),3,4)))</f>
        <v>4</v>
      </c>
      <c r="N47" s="19">
        <f>IF(Data!N47&lt;=QUARTILE(Data!N$4:N$195,1),1,IF(Data!N47&lt;=MEDIAN(Data!N$4:N$195),2,IF(Data!N47&lt;=QUARTILE(Data!N$4:N$195,3),3,4)))</f>
        <v>3</v>
      </c>
      <c r="O47" s="19">
        <f>IF(Data!O47&lt;=QUARTILE(Data!O$4:O$195,1),1,IF(Data!O47&lt;=MEDIAN(Data!O$4:O$195),2,IF(Data!O47&lt;=QUARTILE(Data!O$4:O$195,3),3,4)))</f>
        <v>3</v>
      </c>
      <c r="P47" s="19">
        <f>IF(Data!P47&lt;=QUARTILE(Data!P$4:P$195,1),1,IF(Data!P47&lt;=MEDIAN(Data!P$4:P$195),2,IF(Data!P47&lt;=QUARTILE(Data!P$4:P$195,3),3,4)))</f>
        <v>4</v>
      </c>
      <c r="Q47" s="19">
        <f>IF(Data!Q47&lt;=QUARTILE(Data!Q$4:Q$195,1),1,IF(Data!Q47&lt;=MEDIAN(Data!Q$4:Q$195),2,IF(Data!Q47&lt;=QUARTILE(Data!Q$4:Q$195,3),3,4)))</f>
        <v>3</v>
      </c>
      <c r="R47" s="19">
        <f>IF(Data!R47&lt;=QUARTILE(Data!R$4:R$195,1),1,IF(Data!R47&lt;=MEDIAN(Data!R$4:R$195),2,IF(Data!R47&lt;=QUARTILE(Data!R$4:R$195,3),3,4)))</f>
        <v>4</v>
      </c>
      <c r="S47" s="19">
        <f>IF(Data!S47&lt;=QUARTILE(Data!S$4:S$195,1),1,IF(Data!S47&lt;=MEDIAN(Data!S$4:S$195),2,IF(Data!S47&lt;=QUARTILE(Data!S$4:S$195,3),3,4)))</f>
        <v>2</v>
      </c>
      <c r="T47" s="15">
        <f>IF(Data!T47&lt;=QUARTILE(Data!T$4:T$195,1),1,IF(Data!T47&lt;=MEDIAN(Data!T$4:T$195),2,IF(Data!T47&lt;=QUARTILE(Data!T$4:T$195,3),3,4)))</f>
        <v>3</v>
      </c>
      <c r="U47" s="14">
        <f>IF(Data!U47&lt;=QUARTILE(Data!U$4:U$195,1),1,IF(Data!U47&lt;=MEDIAN(Data!U$4:U$195),2,IF(Data!U47&lt;=QUARTILE(Data!U$4:U$195,3),3,4)))</f>
        <v>2</v>
      </c>
      <c r="V47" s="19">
        <f>IF(Data!V47&lt;=QUARTILE(Data!V$4:V$195,1),1,IF(Data!V47&lt;=MEDIAN(Data!V$4:V$195),2,IF(Data!V47&lt;=QUARTILE(Data!V$4:V$195,3),3,4)))</f>
        <v>2</v>
      </c>
      <c r="W47" s="19">
        <f>IF(Data!W47&lt;=QUARTILE(Data!W$4:W$195,1),1,IF(Data!W47&lt;=MEDIAN(Data!W$4:W$195),2,IF(Data!W47&lt;=QUARTILE(Data!W$4:W$195,3),3,4)))</f>
        <v>2</v>
      </c>
      <c r="X47" s="15">
        <f>IF(Data!X47&lt;=QUARTILE(Data!X$4:X$195,1),1,IF(Data!X47&lt;=MEDIAN(Data!X$4:X$195),2,IF(Data!X47&lt;=QUARTILE(Data!X$4:X$195,3),3,4)))</f>
        <v>3</v>
      </c>
      <c r="Y47" s="14">
        <f>IF(Data!Y47&lt;=QUARTILE(Data!Y$4:Y$195,1),1,IF(Data!Y47&lt;=MEDIAN(Data!Y$4:Y$195),2,IF(Data!Y47&lt;=QUARTILE(Data!Y$4:Y$195,3),3,4)))</f>
        <v>1</v>
      </c>
      <c r="Z47" s="15">
        <f>IF(Data!Z47&lt;=QUARTILE(Data!Z$4:Z$195,1),1,IF(Data!Z47&lt;=MEDIAN(Data!Z$4:Z$195),2,IF(Data!Z47&lt;=QUARTILE(Data!Z$4:Z$195,3),3,4)))</f>
        <v>4</v>
      </c>
      <c r="AA47" s="14">
        <f>IF(Data!AA47&lt;=QUARTILE(Data!AA$4:AA$195,1),1,IF(Data!AA47&lt;=MEDIAN(Data!AA$4:AA$195),2,IF(Data!AA47&lt;=QUARTILE(Data!AA$4:AA$195,3),3,4)))</f>
        <v>3</v>
      </c>
      <c r="AB47" s="15">
        <f>IF(Data!AB47&lt;=QUARTILE(Data!AB$4:AB$195,1),1,IF(Data!AB47&lt;=MEDIAN(Data!AB$4:AB$195),2,IF(Data!AB47&lt;=QUARTILE(Data!AB$4:AB$195,3),3,4)))</f>
        <v>4</v>
      </c>
      <c r="AC47" s="14">
        <f>IF(Data!AC47&lt;=QUARTILE(Data!AC$4:AC$195,1),1,IF(Data!AC47&lt;=MEDIAN(Data!AC$4:AC$195),2,IF(Data!AC47&lt;=QUARTILE(Data!AC$4:AC$195,3),3,4)))</f>
        <v>3</v>
      </c>
      <c r="AD47" s="15">
        <f>IF(Data!AD47&lt;=QUARTILE(Data!AD$4:AD$195,1),1,IF(Data!AD47&lt;=MEDIAN(Data!AD$4:AD$195),2,IF(Data!AD47&lt;=QUARTILE(Data!AD$4:AD$195,3),3,4)))</f>
        <v>2</v>
      </c>
      <c r="AE47" s="4">
        <f>IF(Data!AE47&lt;=QUARTILE(Data!AE$4:AE$195,1),1,IF(Data!AE47&lt;=MEDIAN(Data!AE$4:AE$195),2,IF(Data!AE47&lt;=QUARTILE(Data!AE$4:AE$195,3),3,4)))</f>
        <v>4</v>
      </c>
      <c r="AF47" s="3">
        <f>IF(Data!AF47&lt;=QUARTILE(Data!AF$4:AF$195,1),1,IF(Data!AF47&lt;=MEDIAN(Data!AF$4:AF$195),2,IF(Data!AF47&lt;=QUARTILE(Data!AF$4:AF$195,3),3,4)))</f>
        <v>3</v>
      </c>
      <c r="AG47" s="3">
        <f>IF(Data!AG47&lt;=QUARTILE(Data!AG$4:AG$195,1),1,IF(Data!AG47&lt;=MEDIAN(Data!AG$4:AG$195),2,IF(Data!AG47&lt;=QUARTILE(Data!AG$4:AG$195,3),3,4)))</f>
        <v>3</v>
      </c>
      <c r="AH47" s="3">
        <f>IF(Data!AH47&lt;=QUARTILE(Data!AH$4:AH$195,1),1,IF(Data!AH47&lt;=MEDIAN(Data!AH$4:AH$195),2,IF(Data!AH47&lt;=QUARTILE(Data!AH$4:AH$195,3),3,4)))</f>
        <v>2</v>
      </c>
      <c r="AI47" s="14">
        <f>IF(Data!AI47&lt;=QUARTILE(Data!AI$4:AI$195,1),1,IF(Data!AI47&lt;=MEDIAN(Data!AI$4:AI$195),2,IF(Data!AI47&lt;=QUARTILE(Data!AI$4:AI$195,3),3,4)))</f>
        <v>1</v>
      </c>
      <c r="AJ47" s="15">
        <f>IF(Data!AJ47&lt;=QUARTILE(Data!AJ$4:AJ$195,1),1,IF(Data!AJ47&lt;=MEDIAN(Data!AJ$4:AJ$195),2,IF(Data!AJ47&lt;=QUARTILE(Data!AJ$4:AJ$195,3),3,4)))</f>
        <v>2</v>
      </c>
      <c r="AK47" s="14">
        <f>IF(Data!AK47&lt;=QUARTILE(Data!AK$4:AK$195,1),1,IF(Data!AK47&lt;=MEDIAN(Data!AK$4:AK$195),2,IF(Data!AK47&lt;=QUARTILE(Data!AK$4:AK$195,3),3,4)))</f>
        <v>3</v>
      </c>
      <c r="AL47" s="19">
        <f>IF(Data!AL47&lt;=QUARTILE(Data!AL$4:AL$195,1),1,IF(Data!AL47&lt;=MEDIAN(Data!AL$4:AL$195),2,IF(Data!AL47&lt;=QUARTILE(Data!AL$4:AL$195,3),3,4)))</f>
        <v>3</v>
      </c>
      <c r="AM47" s="19">
        <f>IF(Data!AM47&lt;=QUARTILE(Data!AM$4:AM$195,1),1,IF(Data!AM47&lt;=MEDIAN(Data!AM$4:AM$195),2,IF(Data!AM47&lt;=QUARTILE(Data!AM$4:AM$195,3),3,4)))</f>
        <v>3</v>
      </c>
      <c r="AN47" s="15">
        <f>IF(Data!AN47&lt;=QUARTILE(Data!AN$4:AN$195,1),1,IF(Data!AN47&lt;=MEDIAN(Data!AN$4:AN$195),2,IF(Data!AN47&lt;=QUARTILE(Data!AN$4:AN$195,3),3,4)))</f>
        <v>2</v>
      </c>
      <c r="AO47" s="14">
        <f>IF(Data!AO47&lt;=QUARTILE(Data!AO$4:AO$195,1),1,IF(Data!AO47&lt;=MEDIAN(Data!AO$4:AO$195),2,IF(Data!AO47&lt;=QUARTILE(Data!AO$4:AO$195,3),3,4)))</f>
        <v>1</v>
      </c>
      <c r="AP47" s="19">
        <f>IF(Data!AP47&lt;=QUARTILE(Data!AP$4:AP$195,1),1,IF(Data!AP47&lt;=MEDIAN(Data!AP$4:AP$195),2,IF(Data!AP47&lt;=QUARTILE(Data!AP$4:AP$195,3),3,4)))</f>
        <v>2</v>
      </c>
      <c r="AQ47" s="19">
        <f>IF(Data!AQ47&lt;=QUARTILE(Data!AQ$4:AQ$195,1),1,IF(Data!AQ47&lt;=MEDIAN(Data!AQ$4:AQ$195),2,IF(Data!AQ47&lt;=QUARTILE(Data!AQ$4:AQ$195,3),3,4)))</f>
        <v>2</v>
      </c>
      <c r="AR47" s="19">
        <f>IF(Data!AR47&lt;=QUARTILE(Data!AR$4:AR$195,1),1,IF(Data!AR47&lt;=MEDIAN(Data!AR$4:AR$195),2,IF(Data!AR47&lt;=QUARTILE(Data!AR$4:AR$195,3),3,4)))</f>
        <v>3</v>
      </c>
      <c r="AS47" s="19">
        <f>IF(Data!AS47&lt;=QUARTILE(Data!AS$4:AS$195,1),1,IF(Data!AS47&lt;=MEDIAN(Data!AS$4:AS$195),2,IF(Data!AS47&lt;=QUARTILE(Data!AS$4:AS$195,3),3,4)))</f>
        <v>1</v>
      </c>
      <c r="AT47" s="19">
        <f>IF(Data!AT47&lt;=QUARTILE(Data!AT$4:AT$195,1),1,IF(Data!AT47&lt;=MEDIAN(Data!AT$4:AT$195),2,IF(Data!AT47&lt;=QUARTILE(Data!AT$4:AT$195,3),3,4)))</f>
        <v>1</v>
      </c>
      <c r="AU47" s="15">
        <f>IF(Data!AU47&lt;=QUARTILE(Data!AU$4:AU$195,1),1,IF(Data!AU47&lt;=MEDIAN(Data!AU$4:AU$195),2,IF(Data!AU47&lt;=QUARTILE(Data!AU$4:AU$195,3),3,4)))</f>
        <v>1</v>
      </c>
      <c r="AV47" s="14">
        <f>IF(Data!AV47&lt;=QUARTILE(Data!AV$4:AV$195,1),1,IF(Data!AV47&lt;=MEDIAN(Data!AV$4:AV$195),2,IF(Data!AV47&lt;=QUARTILE(Data!AV$4:AV$195,3),3,4)))</f>
        <v>3</v>
      </c>
      <c r="AW47" s="19">
        <f>IF(Data!AW47&lt;=QUARTILE(Data!AW$4:AW$195,1),1,IF(Data!AW47&lt;=MEDIAN(Data!AW$4:AW$195),2,IF(Data!AW47&lt;=QUARTILE(Data!AW$4:AW$195,3),3,4)))</f>
        <v>4</v>
      </c>
      <c r="AX47" s="19">
        <f>IF(Data!AX47&lt;=QUARTILE(Data!AX$4:AX$195,1),1,IF(Data!AX47&lt;=MEDIAN(Data!AX$4:AX$195),2,IF(Data!AX47&lt;=QUARTILE(Data!AX$4:AX$195,3),3,4)))</f>
        <v>4</v>
      </c>
      <c r="AY47" s="15">
        <f>IF(Data!AY47&lt;=QUARTILE(Data!AY$4:AY$195,1),1,IF(Data!AY47&lt;=MEDIAN(Data!AY$4:AY$195),2,IF(Data!AY47&lt;=QUARTILE(Data!AY$4:AY$195,3),3,4)))</f>
        <v>4</v>
      </c>
      <c r="AZ47" s="14">
        <f>IF(Data!AZ47&lt;=QUARTILE(Data!AZ$4:AZ$195,1),1,IF(Data!AZ47&lt;=MEDIAN(Data!AZ$4:AZ$195),2,IF(Data!AZ47&lt;=QUARTILE(Data!AZ$4:AZ$195,3),3,4)))</f>
        <v>4</v>
      </c>
      <c r="BA47" s="15">
        <f>IF(Data!BA47&lt;=QUARTILE(Data!BA$4:BA$195,1),1,IF(Data!BA47&lt;=MEDIAN(Data!BA$4:BA$195),2,IF(Data!BA47&lt;=QUARTILE(Data!BA$4:BA$195,3),3,4)))</f>
        <v>1</v>
      </c>
    </row>
    <row r="48" spans="1:53" x14ac:dyDescent="0.25">
      <c r="A48" s="4" t="s">
        <v>12</v>
      </c>
      <c r="B48" s="40">
        <v>2008</v>
      </c>
      <c r="C48" s="14">
        <v>8</v>
      </c>
      <c r="D48" s="19">
        <v>8</v>
      </c>
      <c r="E48" s="74" t="s">
        <v>96</v>
      </c>
      <c r="F48" s="19">
        <v>-0.4</v>
      </c>
      <c r="G48" s="19">
        <v>2.8</v>
      </c>
      <c r="H48" s="15">
        <v>-3.2</v>
      </c>
      <c r="I48" s="14">
        <f>IF(Data!I48&lt;=QUARTILE(Data!I$4:I$195,1),1,IF(Data!I48&lt;=MEDIAN(Data!I$4:I$195),2,IF(Data!I48&lt;=QUARTILE(Data!I$4:I$195,3),3,4)))</f>
        <v>3</v>
      </c>
      <c r="J48" s="19">
        <f>IF(Data!J48&lt;=QUARTILE(Data!J$4:J$195,1),1,IF(Data!J48&lt;=MEDIAN(Data!J$4:J$195),2,IF(Data!J48&lt;=QUARTILE(Data!J$4:J$195,3),3,4)))</f>
        <v>4</v>
      </c>
      <c r="K48" s="19">
        <f>IF(Data!K48&lt;=QUARTILE(Data!K$4:K$195,1),1,IF(Data!K48&lt;=MEDIAN(Data!K$4:K$195),2,IF(Data!K48&lt;=QUARTILE(Data!K$4:K$195,3),3,4)))</f>
        <v>3</v>
      </c>
      <c r="L48" s="15">
        <f>IF(Data!L48&lt;=QUARTILE(Data!L$4:L$195,1),1,IF(Data!L48&lt;=MEDIAN(Data!L$4:L$195),2,IF(Data!L48&lt;=QUARTILE(Data!L$4:L$195,3),3,4)))</f>
        <v>4</v>
      </c>
      <c r="M48" s="14">
        <f>IF(Data!M48&lt;=QUARTILE(Data!M$4:M$195,1),1,IF(Data!M48&lt;=MEDIAN(Data!M$4:M$195),2,IF(Data!M48&lt;=QUARTILE(Data!M$4:M$195,3),3,4)))</f>
        <v>4</v>
      </c>
      <c r="N48" s="19">
        <f>IF(Data!N48&lt;=QUARTILE(Data!N$4:N$195,1),1,IF(Data!N48&lt;=MEDIAN(Data!N$4:N$195),2,IF(Data!N48&lt;=QUARTILE(Data!N$4:N$195,3),3,4)))</f>
        <v>3</v>
      </c>
      <c r="O48" s="19">
        <f>IF(Data!O48&lt;=QUARTILE(Data!O$4:O$195,1),1,IF(Data!O48&lt;=MEDIAN(Data!O$4:O$195),2,IF(Data!O48&lt;=QUARTILE(Data!O$4:O$195,3),3,4)))</f>
        <v>4</v>
      </c>
      <c r="P48" s="19">
        <f>IF(Data!P48&lt;=QUARTILE(Data!P$4:P$195,1),1,IF(Data!P48&lt;=MEDIAN(Data!P$4:P$195),2,IF(Data!P48&lt;=QUARTILE(Data!P$4:P$195,3),3,4)))</f>
        <v>2</v>
      </c>
      <c r="Q48" s="19">
        <f>IF(Data!Q48&lt;=QUARTILE(Data!Q$4:Q$195,1),1,IF(Data!Q48&lt;=MEDIAN(Data!Q$4:Q$195),2,IF(Data!Q48&lt;=QUARTILE(Data!Q$4:Q$195,3),3,4)))</f>
        <v>4</v>
      </c>
      <c r="R48" s="19">
        <f>IF(Data!R48&lt;=QUARTILE(Data!R$4:R$195,1),1,IF(Data!R48&lt;=MEDIAN(Data!R$4:R$195),2,IF(Data!R48&lt;=QUARTILE(Data!R$4:R$195,3),3,4)))</f>
        <v>3</v>
      </c>
      <c r="S48" s="19">
        <f>IF(Data!S48&lt;=QUARTILE(Data!S$4:S$195,1),1,IF(Data!S48&lt;=MEDIAN(Data!S$4:S$195),2,IF(Data!S48&lt;=QUARTILE(Data!S$4:S$195,3),3,4)))</f>
        <v>2</v>
      </c>
      <c r="T48" s="15">
        <f>IF(Data!T48&lt;=QUARTILE(Data!T$4:T$195,1),1,IF(Data!T48&lt;=MEDIAN(Data!T$4:T$195),2,IF(Data!T48&lt;=QUARTILE(Data!T$4:T$195,3),3,4)))</f>
        <v>2</v>
      </c>
      <c r="U48" s="14">
        <f>IF(Data!U48&lt;=QUARTILE(Data!U$4:U$195,1),1,IF(Data!U48&lt;=MEDIAN(Data!U$4:U$195),2,IF(Data!U48&lt;=QUARTILE(Data!U$4:U$195,3),3,4)))</f>
        <v>2</v>
      </c>
      <c r="V48" s="19">
        <f>IF(Data!V48&lt;=QUARTILE(Data!V$4:V$195,1),1,IF(Data!V48&lt;=MEDIAN(Data!V$4:V$195),2,IF(Data!V48&lt;=QUARTILE(Data!V$4:V$195,3),3,4)))</f>
        <v>3</v>
      </c>
      <c r="W48" s="19">
        <f>IF(Data!W48&lt;=QUARTILE(Data!W$4:W$195,1),1,IF(Data!W48&lt;=MEDIAN(Data!W$4:W$195),2,IF(Data!W48&lt;=QUARTILE(Data!W$4:W$195,3),3,4)))</f>
        <v>3</v>
      </c>
      <c r="X48" s="15">
        <f>IF(Data!X48&lt;=QUARTILE(Data!X$4:X$195,1),1,IF(Data!X48&lt;=MEDIAN(Data!X$4:X$195),2,IF(Data!X48&lt;=QUARTILE(Data!X$4:X$195,3),3,4)))</f>
        <v>3</v>
      </c>
      <c r="Y48" s="14">
        <f>IF(Data!Y48&lt;=QUARTILE(Data!Y$4:Y$195,1),1,IF(Data!Y48&lt;=MEDIAN(Data!Y$4:Y$195),2,IF(Data!Y48&lt;=QUARTILE(Data!Y$4:Y$195,3),3,4)))</f>
        <v>4</v>
      </c>
      <c r="Z48" s="15">
        <f>IF(Data!Z48&lt;=QUARTILE(Data!Z$4:Z$195,1),1,IF(Data!Z48&lt;=MEDIAN(Data!Z$4:Z$195),2,IF(Data!Z48&lt;=QUARTILE(Data!Z$4:Z$195,3),3,4)))</f>
        <v>4</v>
      </c>
      <c r="AA48" s="14">
        <f>IF(Data!AA48&lt;=QUARTILE(Data!AA$4:AA$195,1),1,IF(Data!AA48&lt;=MEDIAN(Data!AA$4:AA$195),2,IF(Data!AA48&lt;=QUARTILE(Data!AA$4:AA$195,3),3,4)))</f>
        <v>2</v>
      </c>
      <c r="AB48" s="15">
        <f>IF(Data!AB48&lt;=QUARTILE(Data!AB$4:AB$195,1),1,IF(Data!AB48&lt;=MEDIAN(Data!AB$4:AB$195),2,IF(Data!AB48&lt;=QUARTILE(Data!AB$4:AB$195,3),3,4)))</f>
        <v>3</v>
      </c>
      <c r="AC48" s="14">
        <f>IF(Data!AC48&lt;=QUARTILE(Data!AC$4:AC$195,1),1,IF(Data!AC48&lt;=MEDIAN(Data!AC$4:AC$195),2,IF(Data!AC48&lt;=QUARTILE(Data!AC$4:AC$195,3),3,4)))</f>
        <v>3</v>
      </c>
      <c r="AD48" s="15">
        <f>IF(Data!AD48&lt;=QUARTILE(Data!AD$4:AD$195,1),1,IF(Data!AD48&lt;=MEDIAN(Data!AD$4:AD$195),2,IF(Data!AD48&lt;=QUARTILE(Data!AD$4:AD$195,3),3,4)))</f>
        <v>3</v>
      </c>
      <c r="AE48" s="4">
        <f>IF(Data!AE48&lt;=QUARTILE(Data!AE$4:AE$195,1),1,IF(Data!AE48&lt;=MEDIAN(Data!AE$4:AE$195),2,IF(Data!AE48&lt;=QUARTILE(Data!AE$4:AE$195,3),3,4)))</f>
        <v>3</v>
      </c>
      <c r="AF48" s="3">
        <f>IF(Data!AF48&lt;=QUARTILE(Data!AF$4:AF$195,1),1,IF(Data!AF48&lt;=MEDIAN(Data!AF$4:AF$195),2,IF(Data!AF48&lt;=QUARTILE(Data!AF$4:AF$195,3),3,4)))</f>
        <v>3</v>
      </c>
      <c r="AG48" s="3">
        <f>IF(Data!AG48&lt;=QUARTILE(Data!AG$4:AG$195,1),1,IF(Data!AG48&lt;=MEDIAN(Data!AG$4:AG$195),2,IF(Data!AG48&lt;=QUARTILE(Data!AG$4:AG$195,3),3,4)))</f>
        <v>3</v>
      </c>
      <c r="AH48" s="3">
        <f>IF(Data!AH48&lt;=QUARTILE(Data!AH$4:AH$195,1),1,IF(Data!AH48&lt;=MEDIAN(Data!AH$4:AH$195),2,IF(Data!AH48&lt;=QUARTILE(Data!AH$4:AH$195,3),3,4)))</f>
        <v>3</v>
      </c>
      <c r="AI48" s="14">
        <f>IF(Data!AI48&lt;=QUARTILE(Data!AI$4:AI$195,1),1,IF(Data!AI48&lt;=MEDIAN(Data!AI$4:AI$195),2,IF(Data!AI48&lt;=QUARTILE(Data!AI$4:AI$195,3),3,4)))</f>
        <v>1</v>
      </c>
      <c r="AJ48" s="15">
        <f>IF(Data!AJ48&lt;=QUARTILE(Data!AJ$4:AJ$195,1),1,IF(Data!AJ48&lt;=MEDIAN(Data!AJ$4:AJ$195),2,IF(Data!AJ48&lt;=QUARTILE(Data!AJ$4:AJ$195,3),3,4)))</f>
        <v>1</v>
      </c>
      <c r="AK48" s="14">
        <f>IF(Data!AK48&lt;=QUARTILE(Data!AK$4:AK$195,1),1,IF(Data!AK48&lt;=MEDIAN(Data!AK$4:AK$195),2,IF(Data!AK48&lt;=QUARTILE(Data!AK$4:AK$195,3),3,4)))</f>
        <v>4</v>
      </c>
      <c r="AL48" s="19">
        <f>IF(Data!AL48&lt;=QUARTILE(Data!AL$4:AL$195,1),1,IF(Data!AL48&lt;=MEDIAN(Data!AL$4:AL$195),2,IF(Data!AL48&lt;=QUARTILE(Data!AL$4:AL$195,3),3,4)))</f>
        <v>3</v>
      </c>
      <c r="AM48" s="19">
        <f>IF(Data!AM48&lt;=QUARTILE(Data!AM$4:AM$195,1),1,IF(Data!AM48&lt;=MEDIAN(Data!AM$4:AM$195),2,IF(Data!AM48&lt;=QUARTILE(Data!AM$4:AM$195,3),3,4)))</f>
        <v>1</v>
      </c>
      <c r="AN48" s="15">
        <f>IF(Data!AN48&lt;=QUARTILE(Data!AN$4:AN$195,1),1,IF(Data!AN48&lt;=MEDIAN(Data!AN$4:AN$195),2,IF(Data!AN48&lt;=QUARTILE(Data!AN$4:AN$195,3),3,4)))</f>
        <v>3</v>
      </c>
      <c r="AO48" s="14">
        <f>IF(Data!AO48&lt;=QUARTILE(Data!AO$4:AO$195,1),1,IF(Data!AO48&lt;=MEDIAN(Data!AO$4:AO$195),2,IF(Data!AO48&lt;=QUARTILE(Data!AO$4:AO$195,3),3,4)))</f>
        <v>2</v>
      </c>
      <c r="AP48" s="19">
        <f>IF(Data!AP48&lt;=QUARTILE(Data!AP$4:AP$195,1),1,IF(Data!AP48&lt;=MEDIAN(Data!AP$4:AP$195),2,IF(Data!AP48&lt;=QUARTILE(Data!AP$4:AP$195,3),3,4)))</f>
        <v>1</v>
      </c>
      <c r="AQ48" s="19">
        <f>IF(Data!AQ48&lt;=QUARTILE(Data!AQ$4:AQ$195,1),1,IF(Data!AQ48&lt;=MEDIAN(Data!AQ$4:AQ$195),2,IF(Data!AQ48&lt;=QUARTILE(Data!AQ$4:AQ$195,3),3,4)))</f>
        <v>3</v>
      </c>
      <c r="AR48" s="19">
        <f>IF(Data!AR48&lt;=QUARTILE(Data!AR$4:AR$195,1),1,IF(Data!AR48&lt;=MEDIAN(Data!AR$4:AR$195),2,IF(Data!AR48&lt;=QUARTILE(Data!AR$4:AR$195,3),3,4)))</f>
        <v>3</v>
      </c>
      <c r="AS48" s="19">
        <f>IF(Data!AS48&lt;=QUARTILE(Data!AS$4:AS$195,1),1,IF(Data!AS48&lt;=MEDIAN(Data!AS$4:AS$195),2,IF(Data!AS48&lt;=QUARTILE(Data!AS$4:AS$195,3),3,4)))</f>
        <v>2</v>
      </c>
      <c r="AT48" s="19">
        <f>IF(Data!AT48&lt;=QUARTILE(Data!AT$4:AT$195,1),1,IF(Data!AT48&lt;=MEDIAN(Data!AT$4:AT$195),2,IF(Data!AT48&lt;=QUARTILE(Data!AT$4:AT$195,3),3,4)))</f>
        <v>1</v>
      </c>
      <c r="AU48" s="15">
        <f>IF(Data!AU48&lt;=QUARTILE(Data!AU$4:AU$195,1),1,IF(Data!AU48&lt;=MEDIAN(Data!AU$4:AU$195),2,IF(Data!AU48&lt;=QUARTILE(Data!AU$4:AU$195,3),3,4)))</f>
        <v>1</v>
      </c>
      <c r="AV48" s="14">
        <f>IF(Data!AV48&lt;=QUARTILE(Data!AV$4:AV$195,1),1,IF(Data!AV48&lt;=MEDIAN(Data!AV$4:AV$195),2,IF(Data!AV48&lt;=QUARTILE(Data!AV$4:AV$195,3),3,4)))</f>
        <v>2</v>
      </c>
      <c r="AW48" s="19">
        <f>IF(Data!AW48&lt;=QUARTILE(Data!AW$4:AW$195,1),1,IF(Data!AW48&lt;=MEDIAN(Data!AW$4:AW$195),2,IF(Data!AW48&lt;=QUARTILE(Data!AW$4:AW$195,3),3,4)))</f>
        <v>3</v>
      </c>
      <c r="AX48" s="19">
        <f>IF(Data!AX48&lt;=QUARTILE(Data!AX$4:AX$195,1),1,IF(Data!AX48&lt;=MEDIAN(Data!AX$4:AX$195),2,IF(Data!AX48&lt;=QUARTILE(Data!AX$4:AX$195,3),3,4)))</f>
        <v>4</v>
      </c>
      <c r="AY48" s="15">
        <f>IF(Data!AY48&lt;=QUARTILE(Data!AY$4:AY$195,1),1,IF(Data!AY48&lt;=MEDIAN(Data!AY$4:AY$195),2,IF(Data!AY48&lt;=QUARTILE(Data!AY$4:AY$195,3),3,4)))</f>
        <v>4</v>
      </c>
      <c r="AZ48" s="14">
        <f>IF(Data!AZ48&lt;=QUARTILE(Data!AZ$4:AZ$195,1),1,IF(Data!AZ48&lt;=MEDIAN(Data!AZ$4:AZ$195),2,IF(Data!AZ48&lt;=QUARTILE(Data!AZ$4:AZ$195,3),3,4)))</f>
        <v>1</v>
      </c>
      <c r="BA48" s="15">
        <f>IF(Data!BA48&lt;=QUARTILE(Data!BA$4:BA$195,1),1,IF(Data!BA48&lt;=MEDIAN(Data!BA$4:BA$195),2,IF(Data!BA48&lt;=QUARTILE(Data!BA$4:BA$195,3),3,4)))</f>
        <v>2</v>
      </c>
    </row>
    <row r="49" spans="1:53" x14ac:dyDescent="0.25">
      <c r="A49" s="4" t="s">
        <v>11</v>
      </c>
      <c r="B49" s="40">
        <v>2008</v>
      </c>
      <c r="C49" s="14">
        <v>12</v>
      </c>
      <c r="D49" s="19">
        <v>4</v>
      </c>
      <c r="E49" s="74" t="s">
        <v>97</v>
      </c>
      <c r="F49" s="19">
        <v>6.5</v>
      </c>
      <c r="G49" s="19">
        <v>2.6</v>
      </c>
      <c r="H49" s="15">
        <v>3.9</v>
      </c>
      <c r="I49" s="14">
        <f>IF(Data!I49&lt;=QUARTILE(Data!I$4:I$195,1),1,IF(Data!I49&lt;=MEDIAN(Data!I$4:I$195),2,IF(Data!I49&lt;=QUARTILE(Data!I$4:I$195,3),3,4)))</f>
        <v>3</v>
      </c>
      <c r="J49" s="19">
        <f>IF(Data!J49&lt;=QUARTILE(Data!J$4:J$195,1),1,IF(Data!J49&lt;=MEDIAN(Data!J$4:J$195),2,IF(Data!J49&lt;=QUARTILE(Data!J$4:J$195,3),3,4)))</f>
        <v>3</v>
      </c>
      <c r="K49" s="19">
        <f>IF(Data!K49&lt;=QUARTILE(Data!K$4:K$195,1),1,IF(Data!K49&lt;=MEDIAN(Data!K$4:K$195),2,IF(Data!K49&lt;=QUARTILE(Data!K$4:K$195,3),3,4)))</f>
        <v>1</v>
      </c>
      <c r="L49" s="15">
        <f>IF(Data!L49&lt;=QUARTILE(Data!L$4:L$195,1),1,IF(Data!L49&lt;=MEDIAN(Data!L$4:L$195),2,IF(Data!L49&lt;=QUARTILE(Data!L$4:L$195,3),3,4)))</f>
        <v>3</v>
      </c>
      <c r="M49" s="14">
        <f>IF(Data!M49&lt;=QUARTILE(Data!M$4:M$195,1),1,IF(Data!M49&lt;=MEDIAN(Data!M$4:M$195),2,IF(Data!M49&lt;=QUARTILE(Data!M$4:M$195,3),3,4)))</f>
        <v>4</v>
      </c>
      <c r="N49" s="19">
        <f>IF(Data!N49&lt;=QUARTILE(Data!N$4:N$195,1),1,IF(Data!N49&lt;=MEDIAN(Data!N$4:N$195),2,IF(Data!N49&lt;=QUARTILE(Data!N$4:N$195,3),3,4)))</f>
        <v>4</v>
      </c>
      <c r="O49" s="19">
        <f>IF(Data!O49&lt;=QUARTILE(Data!O$4:O$195,1),1,IF(Data!O49&lt;=MEDIAN(Data!O$4:O$195),2,IF(Data!O49&lt;=QUARTILE(Data!O$4:O$195,3),3,4)))</f>
        <v>4</v>
      </c>
      <c r="P49" s="19">
        <f>IF(Data!P49&lt;=QUARTILE(Data!P$4:P$195,1),1,IF(Data!P49&lt;=MEDIAN(Data!P$4:P$195),2,IF(Data!P49&lt;=QUARTILE(Data!P$4:P$195,3),3,4)))</f>
        <v>4</v>
      </c>
      <c r="Q49" s="19">
        <f>IF(Data!Q49&lt;=QUARTILE(Data!Q$4:Q$195,1),1,IF(Data!Q49&lt;=MEDIAN(Data!Q$4:Q$195),2,IF(Data!Q49&lt;=QUARTILE(Data!Q$4:Q$195,3),3,4)))</f>
        <v>4</v>
      </c>
      <c r="R49" s="19">
        <f>IF(Data!R49&lt;=QUARTILE(Data!R$4:R$195,1),1,IF(Data!R49&lt;=MEDIAN(Data!R$4:R$195),2,IF(Data!R49&lt;=QUARTILE(Data!R$4:R$195,3),3,4)))</f>
        <v>4</v>
      </c>
      <c r="S49" s="19">
        <f>IF(Data!S49&lt;=QUARTILE(Data!S$4:S$195,1),1,IF(Data!S49&lt;=MEDIAN(Data!S$4:S$195),2,IF(Data!S49&lt;=QUARTILE(Data!S$4:S$195,3),3,4)))</f>
        <v>1</v>
      </c>
      <c r="T49" s="15">
        <f>IF(Data!T49&lt;=QUARTILE(Data!T$4:T$195,1),1,IF(Data!T49&lt;=MEDIAN(Data!T$4:T$195),2,IF(Data!T49&lt;=QUARTILE(Data!T$4:T$195,3),3,4)))</f>
        <v>1</v>
      </c>
      <c r="U49" s="14">
        <f>IF(Data!U49&lt;=QUARTILE(Data!U$4:U$195,1),1,IF(Data!U49&lt;=MEDIAN(Data!U$4:U$195),2,IF(Data!U49&lt;=QUARTILE(Data!U$4:U$195,3),3,4)))</f>
        <v>1</v>
      </c>
      <c r="V49" s="19">
        <f>IF(Data!V49&lt;=QUARTILE(Data!V$4:V$195,1),1,IF(Data!V49&lt;=MEDIAN(Data!V$4:V$195),2,IF(Data!V49&lt;=QUARTILE(Data!V$4:V$195,3),3,4)))</f>
        <v>1</v>
      </c>
      <c r="W49" s="19">
        <f>IF(Data!W49&lt;=QUARTILE(Data!W$4:W$195,1),1,IF(Data!W49&lt;=MEDIAN(Data!W$4:W$195),2,IF(Data!W49&lt;=QUARTILE(Data!W$4:W$195,3),3,4)))</f>
        <v>2</v>
      </c>
      <c r="X49" s="15">
        <f>IF(Data!X49&lt;=QUARTILE(Data!X$4:X$195,1),1,IF(Data!X49&lt;=MEDIAN(Data!X$4:X$195),2,IF(Data!X49&lt;=QUARTILE(Data!X$4:X$195,3),3,4)))</f>
        <v>1</v>
      </c>
      <c r="Y49" s="14">
        <f>IF(Data!Y49&lt;=QUARTILE(Data!Y$4:Y$195,1),1,IF(Data!Y49&lt;=MEDIAN(Data!Y$4:Y$195),2,IF(Data!Y49&lt;=QUARTILE(Data!Y$4:Y$195,3),3,4)))</f>
        <v>1</v>
      </c>
      <c r="Z49" s="15">
        <f>IF(Data!Z49&lt;=QUARTILE(Data!Z$4:Z$195,1),1,IF(Data!Z49&lt;=MEDIAN(Data!Z$4:Z$195),2,IF(Data!Z49&lt;=QUARTILE(Data!Z$4:Z$195,3),3,4)))</f>
        <v>3</v>
      </c>
      <c r="AA49" s="14">
        <f>IF(Data!AA49&lt;=QUARTILE(Data!AA$4:AA$195,1),1,IF(Data!AA49&lt;=MEDIAN(Data!AA$4:AA$195),2,IF(Data!AA49&lt;=QUARTILE(Data!AA$4:AA$195,3),3,4)))</f>
        <v>1</v>
      </c>
      <c r="AB49" s="15">
        <f>IF(Data!AB49&lt;=QUARTILE(Data!AB$4:AB$195,1),1,IF(Data!AB49&lt;=MEDIAN(Data!AB$4:AB$195),2,IF(Data!AB49&lt;=QUARTILE(Data!AB$4:AB$195,3),3,4)))</f>
        <v>1</v>
      </c>
      <c r="AC49" s="14">
        <f>IF(Data!AC49&lt;=QUARTILE(Data!AC$4:AC$195,1),1,IF(Data!AC49&lt;=MEDIAN(Data!AC$4:AC$195),2,IF(Data!AC49&lt;=QUARTILE(Data!AC$4:AC$195,3),3,4)))</f>
        <v>2</v>
      </c>
      <c r="AD49" s="15">
        <f>IF(Data!AD49&lt;=QUARTILE(Data!AD$4:AD$195,1),1,IF(Data!AD49&lt;=MEDIAN(Data!AD$4:AD$195),2,IF(Data!AD49&lt;=QUARTILE(Data!AD$4:AD$195,3),3,4)))</f>
        <v>2</v>
      </c>
      <c r="AE49" s="4">
        <f>IF(Data!AE49&lt;=QUARTILE(Data!AE$4:AE$195,1),1,IF(Data!AE49&lt;=MEDIAN(Data!AE$4:AE$195),2,IF(Data!AE49&lt;=QUARTILE(Data!AE$4:AE$195,3),3,4)))</f>
        <v>2</v>
      </c>
      <c r="AF49" s="3">
        <f>IF(Data!AF49&lt;=QUARTILE(Data!AF$4:AF$195,1),1,IF(Data!AF49&lt;=MEDIAN(Data!AF$4:AF$195),2,IF(Data!AF49&lt;=QUARTILE(Data!AF$4:AF$195,3),3,4)))</f>
        <v>2</v>
      </c>
      <c r="AG49" s="3">
        <f>IF(Data!AG49&lt;=QUARTILE(Data!AG$4:AG$195,1),1,IF(Data!AG49&lt;=MEDIAN(Data!AG$4:AG$195),2,IF(Data!AG49&lt;=QUARTILE(Data!AG$4:AG$195,3),3,4)))</f>
        <v>1</v>
      </c>
      <c r="AH49" s="3">
        <f>IF(Data!AH49&lt;=QUARTILE(Data!AH$4:AH$195,1),1,IF(Data!AH49&lt;=MEDIAN(Data!AH$4:AH$195),2,IF(Data!AH49&lt;=QUARTILE(Data!AH$4:AH$195,3),3,4)))</f>
        <v>1</v>
      </c>
      <c r="AI49" s="14">
        <f>IF(Data!AI49&lt;=QUARTILE(Data!AI$4:AI$195,1),1,IF(Data!AI49&lt;=MEDIAN(Data!AI$4:AI$195),2,IF(Data!AI49&lt;=QUARTILE(Data!AI$4:AI$195,3),3,4)))</f>
        <v>1</v>
      </c>
      <c r="AJ49" s="15">
        <f>IF(Data!AJ49&lt;=QUARTILE(Data!AJ$4:AJ$195,1),1,IF(Data!AJ49&lt;=MEDIAN(Data!AJ$4:AJ$195),2,IF(Data!AJ49&lt;=QUARTILE(Data!AJ$4:AJ$195,3),3,4)))</f>
        <v>1</v>
      </c>
      <c r="AK49" s="14">
        <f>IF(Data!AK49&lt;=QUARTILE(Data!AK$4:AK$195,1),1,IF(Data!AK49&lt;=MEDIAN(Data!AK$4:AK$195),2,IF(Data!AK49&lt;=QUARTILE(Data!AK$4:AK$195,3),3,4)))</f>
        <v>1</v>
      </c>
      <c r="AL49" s="19">
        <f>IF(Data!AL49&lt;=QUARTILE(Data!AL$4:AL$195,1),1,IF(Data!AL49&lt;=MEDIAN(Data!AL$4:AL$195),2,IF(Data!AL49&lt;=QUARTILE(Data!AL$4:AL$195,3),3,4)))</f>
        <v>2</v>
      </c>
      <c r="AM49" s="19">
        <f>IF(Data!AM49&lt;=QUARTILE(Data!AM$4:AM$195,1),1,IF(Data!AM49&lt;=MEDIAN(Data!AM$4:AM$195),2,IF(Data!AM49&lt;=QUARTILE(Data!AM$4:AM$195,3),3,4)))</f>
        <v>2</v>
      </c>
      <c r="AN49" s="15">
        <f>IF(Data!AN49&lt;=QUARTILE(Data!AN$4:AN$195,1),1,IF(Data!AN49&lt;=MEDIAN(Data!AN$4:AN$195),2,IF(Data!AN49&lt;=QUARTILE(Data!AN$4:AN$195,3),3,4)))</f>
        <v>3</v>
      </c>
      <c r="AO49" s="14">
        <f>IF(Data!AO49&lt;=QUARTILE(Data!AO$4:AO$195,1),1,IF(Data!AO49&lt;=MEDIAN(Data!AO$4:AO$195),2,IF(Data!AO49&lt;=QUARTILE(Data!AO$4:AO$195,3),3,4)))</f>
        <v>3</v>
      </c>
      <c r="AP49" s="19">
        <f>IF(Data!AP49&lt;=QUARTILE(Data!AP$4:AP$195,1),1,IF(Data!AP49&lt;=MEDIAN(Data!AP$4:AP$195),2,IF(Data!AP49&lt;=QUARTILE(Data!AP$4:AP$195,3),3,4)))</f>
        <v>1</v>
      </c>
      <c r="AQ49" s="19">
        <f>IF(Data!AQ49&lt;=QUARTILE(Data!AQ$4:AQ$195,1),1,IF(Data!AQ49&lt;=MEDIAN(Data!AQ$4:AQ$195),2,IF(Data!AQ49&lt;=QUARTILE(Data!AQ$4:AQ$195,3),3,4)))</f>
        <v>1</v>
      </c>
      <c r="AR49" s="19">
        <f>IF(Data!AR49&lt;=QUARTILE(Data!AR$4:AR$195,1),1,IF(Data!AR49&lt;=MEDIAN(Data!AR$4:AR$195),2,IF(Data!AR49&lt;=QUARTILE(Data!AR$4:AR$195,3),3,4)))</f>
        <v>1</v>
      </c>
      <c r="AS49" s="19">
        <f>IF(Data!AS49&lt;=QUARTILE(Data!AS$4:AS$195,1),1,IF(Data!AS49&lt;=MEDIAN(Data!AS$4:AS$195),2,IF(Data!AS49&lt;=QUARTILE(Data!AS$4:AS$195,3),3,4)))</f>
        <v>2</v>
      </c>
      <c r="AT49" s="19">
        <f>IF(Data!AT49&lt;=QUARTILE(Data!AT$4:AT$195,1),1,IF(Data!AT49&lt;=MEDIAN(Data!AT$4:AT$195),2,IF(Data!AT49&lt;=QUARTILE(Data!AT$4:AT$195,3),3,4)))</f>
        <v>1</v>
      </c>
      <c r="AU49" s="15">
        <f>IF(Data!AU49&lt;=QUARTILE(Data!AU$4:AU$195,1),1,IF(Data!AU49&lt;=MEDIAN(Data!AU$4:AU$195),2,IF(Data!AU49&lt;=QUARTILE(Data!AU$4:AU$195,3),3,4)))</f>
        <v>2</v>
      </c>
      <c r="AV49" s="14">
        <f>IF(Data!AV49&lt;=QUARTILE(Data!AV$4:AV$195,1),1,IF(Data!AV49&lt;=MEDIAN(Data!AV$4:AV$195),2,IF(Data!AV49&lt;=QUARTILE(Data!AV$4:AV$195,3),3,4)))</f>
        <v>3</v>
      </c>
      <c r="AW49" s="19">
        <f>IF(Data!AW49&lt;=QUARTILE(Data!AW$4:AW$195,1),1,IF(Data!AW49&lt;=MEDIAN(Data!AW$4:AW$195),2,IF(Data!AW49&lt;=QUARTILE(Data!AW$4:AW$195,3),3,4)))</f>
        <v>3</v>
      </c>
      <c r="AX49" s="19">
        <f>IF(Data!AX49&lt;=QUARTILE(Data!AX$4:AX$195,1),1,IF(Data!AX49&lt;=MEDIAN(Data!AX$4:AX$195),2,IF(Data!AX49&lt;=QUARTILE(Data!AX$4:AX$195,3),3,4)))</f>
        <v>4</v>
      </c>
      <c r="AY49" s="15">
        <f>IF(Data!AY49&lt;=QUARTILE(Data!AY$4:AY$195,1),1,IF(Data!AY49&lt;=MEDIAN(Data!AY$4:AY$195),2,IF(Data!AY49&lt;=QUARTILE(Data!AY$4:AY$195,3),3,4)))</f>
        <v>4</v>
      </c>
      <c r="AZ49" s="14">
        <f>IF(Data!AZ49&lt;=QUARTILE(Data!AZ$4:AZ$195,1),1,IF(Data!AZ49&lt;=MEDIAN(Data!AZ$4:AZ$195),2,IF(Data!AZ49&lt;=QUARTILE(Data!AZ$4:AZ$195,3),3,4)))</f>
        <v>2</v>
      </c>
      <c r="BA49" s="15">
        <f>IF(Data!BA49&lt;=QUARTILE(Data!BA$4:BA$195,1),1,IF(Data!BA49&lt;=MEDIAN(Data!BA$4:BA$195),2,IF(Data!BA49&lt;=QUARTILE(Data!BA$4:BA$195,3),3,4)))</f>
        <v>2</v>
      </c>
    </row>
    <row r="50" spans="1:53" x14ac:dyDescent="0.25">
      <c r="A50" s="4" t="s">
        <v>14</v>
      </c>
      <c r="B50" s="40">
        <v>2008</v>
      </c>
      <c r="C50" s="14">
        <v>5</v>
      </c>
      <c r="D50" s="19">
        <v>11</v>
      </c>
      <c r="E50" s="74" t="s">
        <v>96</v>
      </c>
      <c r="F50" s="19">
        <v>-2.5</v>
      </c>
      <c r="G50" s="19">
        <v>-2.1</v>
      </c>
      <c r="H50" s="15">
        <v>-0.4</v>
      </c>
      <c r="I50" s="14">
        <f>IF(Data!I50&lt;=QUARTILE(Data!I$4:I$195,1),1,IF(Data!I50&lt;=MEDIAN(Data!I$4:I$195),2,IF(Data!I50&lt;=QUARTILE(Data!I$4:I$195,3),3,4)))</f>
        <v>2</v>
      </c>
      <c r="J50" s="19">
        <f>IF(Data!J50&lt;=QUARTILE(Data!J$4:J$195,1),1,IF(Data!J50&lt;=MEDIAN(Data!J$4:J$195),2,IF(Data!J50&lt;=QUARTILE(Data!J$4:J$195,3),3,4)))</f>
        <v>2</v>
      </c>
      <c r="K50" s="19">
        <f>IF(Data!K50&lt;=QUARTILE(Data!K$4:K$195,1),1,IF(Data!K50&lt;=MEDIAN(Data!K$4:K$195),2,IF(Data!K50&lt;=QUARTILE(Data!K$4:K$195,3),3,4)))</f>
        <v>3</v>
      </c>
      <c r="L50" s="15">
        <f>IF(Data!L50&lt;=QUARTILE(Data!L$4:L$195,1),1,IF(Data!L50&lt;=MEDIAN(Data!L$4:L$195),2,IF(Data!L50&lt;=QUARTILE(Data!L$4:L$195,3),3,4)))</f>
        <v>3</v>
      </c>
      <c r="M50" s="14">
        <f>IF(Data!M50&lt;=QUARTILE(Data!M$4:M$195,1),1,IF(Data!M50&lt;=MEDIAN(Data!M$4:M$195),2,IF(Data!M50&lt;=QUARTILE(Data!M$4:M$195,3),3,4)))</f>
        <v>3</v>
      </c>
      <c r="N50" s="19">
        <f>IF(Data!N50&lt;=QUARTILE(Data!N$4:N$195,1),1,IF(Data!N50&lt;=MEDIAN(Data!N$4:N$195),2,IF(Data!N50&lt;=QUARTILE(Data!N$4:N$195,3),3,4)))</f>
        <v>3</v>
      </c>
      <c r="O50" s="19">
        <f>IF(Data!O50&lt;=QUARTILE(Data!O$4:O$195,1),1,IF(Data!O50&lt;=MEDIAN(Data!O$4:O$195),2,IF(Data!O50&lt;=QUARTILE(Data!O$4:O$195,3),3,4)))</f>
        <v>3</v>
      </c>
      <c r="P50" s="19">
        <f>IF(Data!P50&lt;=QUARTILE(Data!P$4:P$195,1),1,IF(Data!P50&lt;=MEDIAN(Data!P$4:P$195),2,IF(Data!P50&lt;=QUARTILE(Data!P$4:P$195,3),3,4)))</f>
        <v>1</v>
      </c>
      <c r="Q50" s="19">
        <f>IF(Data!Q50&lt;=QUARTILE(Data!Q$4:Q$195,1),1,IF(Data!Q50&lt;=MEDIAN(Data!Q$4:Q$195),2,IF(Data!Q50&lt;=QUARTILE(Data!Q$4:Q$195,3),3,4)))</f>
        <v>3</v>
      </c>
      <c r="R50" s="19">
        <f>IF(Data!R50&lt;=QUARTILE(Data!R$4:R$195,1),1,IF(Data!R50&lt;=MEDIAN(Data!R$4:R$195),2,IF(Data!R50&lt;=QUARTILE(Data!R$4:R$195,3),3,4)))</f>
        <v>3</v>
      </c>
      <c r="S50" s="19">
        <f>IF(Data!S50&lt;=QUARTILE(Data!S$4:S$195,1),1,IF(Data!S50&lt;=MEDIAN(Data!S$4:S$195),2,IF(Data!S50&lt;=QUARTILE(Data!S$4:S$195,3),3,4)))</f>
        <v>3</v>
      </c>
      <c r="T50" s="15">
        <f>IF(Data!T50&lt;=QUARTILE(Data!T$4:T$195,1),1,IF(Data!T50&lt;=MEDIAN(Data!T$4:T$195),2,IF(Data!T50&lt;=QUARTILE(Data!T$4:T$195,3),3,4)))</f>
        <v>4</v>
      </c>
      <c r="U50" s="14">
        <f>IF(Data!U50&lt;=QUARTILE(Data!U$4:U$195,1),1,IF(Data!U50&lt;=MEDIAN(Data!U$4:U$195),2,IF(Data!U50&lt;=QUARTILE(Data!U$4:U$195,3),3,4)))</f>
        <v>2</v>
      </c>
      <c r="V50" s="19">
        <f>IF(Data!V50&lt;=QUARTILE(Data!V$4:V$195,1),1,IF(Data!V50&lt;=MEDIAN(Data!V$4:V$195),2,IF(Data!V50&lt;=QUARTILE(Data!V$4:V$195,3),3,4)))</f>
        <v>2</v>
      </c>
      <c r="W50" s="19">
        <f>IF(Data!W50&lt;=QUARTILE(Data!W$4:W$195,1),1,IF(Data!W50&lt;=MEDIAN(Data!W$4:W$195),2,IF(Data!W50&lt;=QUARTILE(Data!W$4:W$195,3),3,4)))</f>
        <v>3</v>
      </c>
      <c r="X50" s="15">
        <f>IF(Data!X50&lt;=QUARTILE(Data!X$4:X$195,1),1,IF(Data!X50&lt;=MEDIAN(Data!X$4:X$195),2,IF(Data!X50&lt;=QUARTILE(Data!X$4:X$195,3),3,4)))</f>
        <v>3</v>
      </c>
      <c r="Y50" s="14">
        <f>IF(Data!Y50&lt;=QUARTILE(Data!Y$4:Y$195,1),1,IF(Data!Y50&lt;=MEDIAN(Data!Y$4:Y$195),2,IF(Data!Y50&lt;=QUARTILE(Data!Y$4:Y$195,3),3,4)))</f>
        <v>1</v>
      </c>
      <c r="Z50" s="15">
        <f>IF(Data!Z50&lt;=QUARTILE(Data!Z$4:Z$195,1),1,IF(Data!Z50&lt;=MEDIAN(Data!Z$4:Z$195),2,IF(Data!Z50&lt;=QUARTILE(Data!Z$4:Z$195,3),3,4)))</f>
        <v>4</v>
      </c>
      <c r="AA50" s="14">
        <f>IF(Data!AA50&lt;=QUARTILE(Data!AA$4:AA$195,1),1,IF(Data!AA50&lt;=MEDIAN(Data!AA$4:AA$195),2,IF(Data!AA50&lt;=QUARTILE(Data!AA$4:AA$195,3),3,4)))</f>
        <v>1</v>
      </c>
      <c r="AB50" s="15">
        <f>IF(Data!AB50&lt;=QUARTILE(Data!AB$4:AB$195,1),1,IF(Data!AB50&lt;=MEDIAN(Data!AB$4:AB$195),2,IF(Data!AB50&lt;=QUARTILE(Data!AB$4:AB$195,3),3,4)))</f>
        <v>2</v>
      </c>
      <c r="AC50" s="14">
        <f>IF(Data!AC50&lt;=QUARTILE(Data!AC$4:AC$195,1),1,IF(Data!AC50&lt;=MEDIAN(Data!AC$4:AC$195),2,IF(Data!AC50&lt;=QUARTILE(Data!AC$4:AC$195,3),3,4)))</f>
        <v>4</v>
      </c>
      <c r="AD50" s="15">
        <f>IF(Data!AD50&lt;=QUARTILE(Data!AD$4:AD$195,1),1,IF(Data!AD50&lt;=MEDIAN(Data!AD$4:AD$195),2,IF(Data!AD50&lt;=QUARTILE(Data!AD$4:AD$195,3),3,4)))</f>
        <v>4</v>
      </c>
      <c r="AE50" s="4">
        <f>IF(Data!AE50&lt;=QUARTILE(Data!AE$4:AE$195,1),1,IF(Data!AE50&lt;=MEDIAN(Data!AE$4:AE$195),2,IF(Data!AE50&lt;=QUARTILE(Data!AE$4:AE$195,3),3,4)))</f>
        <v>1</v>
      </c>
      <c r="AF50" s="3">
        <f>IF(Data!AF50&lt;=QUARTILE(Data!AF$4:AF$195,1),1,IF(Data!AF50&lt;=MEDIAN(Data!AF$4:AF$195),2,IF(Data!AF50&lt;=QUARTILE(Data!AF$4:AF$195,3),3,4)))</f>
        <v>1</v>
      </c>
      <c r="AG50" s="3">
        <f>IF(Data!AG50&lt;=QUARTILE(Data!AG$4:AG$195,1),1,IF(Data!AG50&lt;=MEDIAN(Data!AG$4:AG$195),2,IF(Data!AG50&lt;=QUARTILE(Data!AG$4:AG$195,3),3,4)))</f>
        <v>3</v>
      </c>
      <c r="AH50" s="3">
        <f>IF(Data!AH50&lt;=QUARTILE(Data!AH$4:AH$195,1),1,IF(Data!AH50&lt;=MEDIAN(Data!AH$4:AH$195),2,IF(Data!AH50&lt;=QUARTILE(Data!AH$4:AH$195,3),3,4)))</f>
        <v>3</v>
      </c>
      <c r="AI50" s="14">
        <f>IF(Data!AI50&lt;=QUARTILE(Data!AI$4:AI$195,1),1,IF(Data!AI50&lt;=MEDIAN(Data!AI$4:AI$195),2,IF(Data!AI50&lt;=QUARTILE(Data!AI$4:AI$195,3),3,4)))</f>
        <v>1</v>
      </c>
      <c r="AJ50" s="15">
        <f>IF(Data!AJ50&lt;=QUARTILE(Data!AJ$4:AJ$195,1),1,IF(Data!AJ50&lt;=MEDIAN(Data!AJ$4:AJ$195),2,IF(Data!AJ50&lt;=QUARTILE(Data!AJ$4:AJ$195,3),3,4)))</f>
        <v>2</v>
      </c>
      <c r="AK50" s="14">
        <f>IF(Data!AK50&lt;=QUARTILE(Data!AK$4:AK$195,1),1,IF(Data!AK50&lt;=MEDIAN(Data!AK$4:AK$195),2,IF(Data!AK50&lt;=QUARTILE(Data!AK$4:AK$195,3),3,4)))</f>
        <v>3</v>
      </c>
      <c r="AL50" s="19">
        <f>IF(Data!AL50&lt;=QUARTILE(Data!AL$4:AL$195,1),1,IF(Data!AL50&lt;=MEDIAN(Data!AL$4:AL$195),2,IF(Data!AL50&lt;=QUARTILE(Data!AL$4:AL$195,3),3,4)))</f>
        <v>3</v>
      </c>
      <c r="AM50" s="19">
        <f>IF(Data!AM50&lt;=QUARTILE(Data!AM$4:AM$195,1),1,IF(Data!AM50&lt;=MEDIAN(Data!AM$4:AM$195),2,IF(Data!AM50&lt;=QUARTILE(Data!AM$4:AM$195,3),3,4)))</f>
        <v>1</v>
      </c>
      <c r="AN50" s="15">
        <f>IF(Data!AN50&lt;=QUARTILE(Data!AN$4:AN$195,1),1,IF(Data!AN50&lt;=MEDIAN(Data!AN$4:AN$195),2,IF(Data!AN50&lt;=QUARTILE(Data!AN$4:AN$195,3),3,4)))</f>
        <v>2</v>
      </c>
      <c r="AO50" s="14">
        <f>IF(Data!AO50&lt;=QUARTILE(Data!AO$4:AO$195,1),1,IF(Data!AO50&lt;=MEDIAN(Data!AO$4:AO$195),2,IF(Data!AO50&lt;=QUARTILE(Data!AO$4:AO$195,3),3,4)))</f>
        <v>2</v>
      </c>
      <c r="AP50" s="19">
        <f>IF(Data!AP50&lt;=QUARTILE(Data!AP$4:AP$195,1),1,IF(Data!AP50&lt;=MEDIAN(Data!AP$4:AP$195),2,IF(Data!AP50&lt;=QUARTILE(Data!AP$4:AP$195,3),3,4)))</f>
        <v>1</v>
      </c>
      <c r="AQ50" s="19">
        <f>IF(Data!AQ50&lt;=QUARTILE(Data!AQ$4:AQ$195,1),1,IF(Data!AQ50&lt;=MEDIAN(Data!AQ$4:AQ$195),2,IF(Data!AQ50&lt;=QUARTILE(Data!AQ$4:AQ$195,3),3,4)))</f>
        <v>3</v>
      </c>
      <c r="AR50" s="19">
        <f>IF(Data!AR50&lt;=QUARTILE(Data!AR$4:AR$195,1),1,IF(Data!AR50&lt;=MEDIAN(Data!AR$4:AR$195),2,IF(Data!AR50&lt;=QUARTILE(Data!AR$4:AR$195,3),3,4)))</f>
        <v>3</v>
      </c>
      <c r="AS50" s="19">
        <f>IF(Data!AS50&lt;=QUARTILE(Data!AS$4:AS$195,1),1,IF(Data!AS50&lt;=MEDIAN(Data!AS$4:AS$195),2,IF(Data!AS50&lt;=QUARTILE(Data!AS$4:AS$195,3),3,4)))</f>
        <v>2</v>
      </c>
      <c r="AT50" s="19">
        <f>IF(Data!AT50&lt;=QUARTILE(Data!AT$4:AT$195,1),1,IF(Data!AT50&lt;=MEDIAN(Data!AT$4:AT$195),2,IF(Data!AT50&lt;=QUARTILE(Data!AT$4:AT$195,3),3,4)))</f>
        <v>1</v>
      </c>
      <c r="AU50" s="15">
        <f>IF(Data!AU50&lt;=QUARTILE(Data!AU$4:AU$195,1),1,IF(Data!AU50&lt;=MEDIAN(Data!AU$4:AU$195),2,IF(Data!AU50&lt;=QUARTILE(Data!AU$4:AU$195,3),3,4)))</f>
        <v>2</v>
      </c>
      <c r="AV50" s="14">
        <f>IF(Data!AV50&lt;=QUARTILE(Data!AV$4:AV$195,1),1,IF(Data!AV50&lt;=MEDIAN(Data!AV$4:AV$195),2,IF(Data!AV50&lt;=QUARTILE(Data!AV$4:AV$195,3),3,4)))</f>
        <v>2</v>
      </c>
      <c r="AW50" s="19">
        <f>IF(Data!AW50&lt;=QUARTILE(Data!AW$4:AW$195,1),1,IF(Data!AW50&lt;=MEDIAN(Data!AW$4:AW$195),2,IF(Data!AW50&lt;=QUARTILE(Data!AW$4:AW$195,3),3,4)))</f>
        <v>2</v>
      </c>
      <c r="AX50" s="19">
        <f>IF(Data!AX50&lt;=QUARTILE(Data!AX$4:AX$195,1),1,IF(Data!AX50&lt;=MEDIAN(Data!AX$4:AX$195),2,IF(Data!AX50&lt;=QUARTILE(Data!AX$4:AX$195,3),3,4)))</f>
        <v>3</v>
      </c>
      <c r="AY50" s="15">
        <f>IF(Data!AY50&lt;=QUARTILE(Data!AY$4:AY$195,1),1,IF(Data!AY50&lt;=MEDIAN(Data!AY$4:AY$195),2,IF(Data!AY50&lt;=QUARTILE(Data!AY$4:AY$195,3),3,4)))</f>
        <v>2</v>
      </c>
      <c r="AZ50" s="14">
        <f>IF(Data!AZ50&lt;=QUARTILE(Data!AZ$4:AZ$195,1),1,IF(Data!AZ50&lt;=MEDIAN(Data!AZ$4:AZ$195),2,IF(Data!AZ50&lt;=QUARTILE(Data!AZ$4:AZ$195,3),3,4)))</f>
        <v>1</v>
      </c>
      <c r="BA50" s="15">
        <f>IF(Data!BA50&lt;=QUARTILE(Data!BA$4:BA$195,1),1,IF(Data!BA50&lt;=MEDIAN(Data!BA$4:BA$195),2,IF(Data!BA50&lt;=QUARTILE(Data!BA$4:BA$195,3),3,4)))</f>
        <v>1</v>
      </c>
    </row>
    <row r="51" spans="1:53" x14ac:dyDescent="0.25">
      <c r="A51" s="4" t="s">
        <v>18</v>
      </c>
      <c r="B51" s="40">
        <v>2008</v>
      </c>
      <c r="C51" s="14">
        <v>2</v>
      </c>
      <c r="D51" s="19">
        <v>14</v>
      </c>
      <c r="E51" s="74" t="s">
        <v>96</v>
      </c>
      <c r="F51" s="19">
        <v>-9.1999999999999993</v>
      </c>
      <c r="G51" s="19">
        <v>-3.9</v>
      </c>
      <c r="H51" s="15">
        <v>-5.3</v>
      </c>
      <c r="I51" s="14">
        <f>IF(Data!I51&lt;=QUARTILE(Data!I$4:I$195,1),1,IF(Data!I51&lt;=MEDIAN(Data!I$4:I$195),2,IF(Data!I51&lt;=QUARTILE(Data!I$4:I$195,3),3,4)))</f>
        <v>2</v>
      </c>
      <c r="J51" s="19">
        <f>IF(Data!J51&lt;=QUARTILE(Data!J$4:J$195,1),1,IF(Data!J51&lt;=MEDIAN(Data!J$4:J$195),2,IF(Data!J51&lt;=QUARTILE(Data!J$4:J$195,3),3,4)))</f>
        <v>2</v>
      </c>
      <c r="K51" s="19">
        <f>IF(Data!K51&lt;=QUARTILE(Data!K$4:K$195,1),1,IF(Data!K51&lt;=MEDIAN(Data!K$4:K$195),2,IF(Data!K51&lt;=QUARTILE(Data!K$4:K$195,3),3,4)))</f>
        <v>1</v>
      </c>
      <c r="L51" s="15">
        <f>IF(Data!L51&lt;=QUARTILE(Data!L$4:L$195,1),1,IF(Data!L51&lt;=MEDIAN(Data!L$4:L$195),2,IF(Data!L51&lt;=QUARTILE(Data!L$4:L$195,3),3,4)))</f>
        <v>1</v>
      </c>
      <c r="M51" s="14">
        <f>IF(Data!M51&lt;=QUARTILE(Data!M$4:M$195,1),1,IF(Data!M51&lt;=MEDIAN(Data!M$4:M$195),2,IF(Data!M51&lt;=QUARTILE(Data!M$4:M$195,3),3,4)))</f>
        <v>2</v>
      </c>
      <c r="N51" s="19">
        <f>IF(Data!N51&lt;=QUARTILE(Data!N$4:N$195,1),1,IF(Data!N51&lt;=MEDIAN(Data!N$4:N$195),2,IF(Data!N51&lt;=QUARTILE(Data!N$4:N$195,3),3,4)))</f>
        <v>3</v>
      </c>
      <c r="O51" s="19">
        <f>IF(Data!O51&lt;=QUARTILE(Data!O$4:O$195,1),1,IF(Data!O51&lt;=MEDIAN(Data!O$4:O$195),2,IF(Data!O51&lt;=QUARTILE(Data!O$4:O$195,3),3,4)))</f>
        <v>2</v>
      </c>
      <c r="P51" s="19">
        <f>IF(Data!P51&lt;=QUARTILE(Data!P$4:P$195,1),1,IF(Data!P51&lt;=MEDIAN(Data!P$4:P$195),2,IF(Data!P51&lt;=QUARTILE(Data!P$4:P$195,3),3,4)))</f>
        <v>3</v>
      </c>
      <c r="Q51" s="19">
        <f>IF(Data!Q51&lt;=QUARTILE(Data!Q$4:Q$195,1),1,IF(Data!Q51&lt;=MEDIAN(Data!Q$4:Q$195),2,IF(Data!Q51&lt;=QUARTILE(Data!Q$4:Q$195,3),3,4)))</f>
        <v>2</v>
      </c>
      <c r="R51" s="19">
        <f>IF(Data!R51&lt;=QUARTILE(Data!R$4:R$195,1),1,IF(Data!R51&lt;=MEDIAN(Data!R$4:R$195),2,IF(Data!R51&lt;=QUARTILE(Data!R$4:R$195,3),3,4)))</f>
        <v>2</v>
      </c>
      <c r="S51" s="19">
        <f>IF(Data!S51&lt;=QUARTILE(Data!S$4:S$195,1),1,IF(Data!S51&lt;=MEDIAN(Data!S$4:S$195),2,IF(Data!S51&lt;=QUARTILE(Data!S$4:S$195,3),3,4)))</f>
        <v>3</v>
      </c>
      <c r="T51" s="15">
        <f>IF(Data!T51&lt;=QUARTILE(Data!T$4:T$195,1),1,IF(Data!T51&lt;=MEDIAN(Data!T$4:T$195),2,IF(Data!T51&lt;=QUARTILE(Data!T$4:T$195,3),3,4)))</f>
        <v>3</v>
      </c>
      <c r="U51" s="14">
        <f>IF(Data!U51&lt;=QUARTILE(Data!U$4:U$195,1),1,IF(Data!U51&lt;=MEDIAN(Data!U$4:U$195),2,IF(Data!U51&lt;=QUARTILE(Data!U$4:U$195,3),3,4)))</f>
        <v>1</v>
      </c>
      <c r="V51" s="19">
        <f>IF(Data!V51&lt;=QUARTILE(Data!V$4:V$195,1),1,IF(Data!V51&lt;=MEDIAN(Data!V$4:V$195),2,IF(Data!V51&lt;=QUARTILE(Data!V$4:V$195,3),3,4)))</f>
        <v>2</v>
      </c>
      <c r="W51" s="19">
        <f>IF(Data!W51&lt;=QUARTILE(Data!W$4:W$195,1),1,IF(Data!W51&lt;=MEDIAN(Data!W$4:W$195),2,IF(Data!W51&lt;=QUARTILE(Data!W$4:W$195,3),3,4)))</f>
        <v>1</v>
      </c>
      <c r="X51" s="15">
        <f>IF(Data!X51&lt;=QUARTILE(Data!X$4:X$195,1),1,IF(Data!X51&lt;=MEDIAN(Data!X$4:X$195),2,IF(Data!X51&lt;=QUARTILE(Data!X$4:X$195,3),3,4)))</f>
        <v>2</v>
      </c>
      <c r="Y51" s="14">
        <f>IF(Data!Y51&lt;=QUARTILE(Data!Y$4:Y$195,1),1,IF(Data!Y51&lt;=MEDIAN(Data!Y$4:Y$195),2,IF(Data!Y51&lt;=QUARTILE(Data!Y$4:Y$195,3),3,4)))</f>
        <v>2</v>
      </c>
      <c r="Z51" s="15">
        <f>IF(Data!Z51&lt;=QUARTILE(Data!Z$4:Z$195,1),1,IF(Data!Z51&lt;=MEDIAN(Data!Z$4:Z$195),2,IF(Data!Z51&lt;=QUARTILE(Data!Z$4:Z$195,3),3,4)))</f>
        <v>4</v>
      </c>
      <c r="AA51" s="14">
        <f>IF(Data!AA51&lt;=QUARTILE(Data!AA$4:AA$195,1),1,IF(Data!AA51&lt;=MEDIAN(Data!AA$4:AA$195),2,IF(Data!AA51&lt;=QUARTILE(Data!AA$4:AA$195,3),3,4)))</f>
        <v>1</v>
      </c>
      <c r="AB51" s="15">
        <f>IF(Data!AB51&lt;=QUARTILE(Data!AB$4:AB$195,1),1,IF(Data!AB51&lt;=MEDIAN(Data!AB$4:AB$195),2,IF(Data!AB51&lt;=QUARTILE(Data!AB$4:AB$195,3),3,4)))</f>
        <v>1</v>
      </c>
      <c r="AC51" s="14">
        <f>IF(Data!AC51&lt;=QUARTILE(Data!AC$4:AC$195,1),1,IF(Data!AC51&lt;=MEDIAN(Data!AC$4:AC$195),2,IF(Data!AC51&lt;=QUARTILE(Data!AC$4:AC$195,3),3,4)))</f>
        <v>4</v>
      </c>
      <c r="AD51" s="15">
        <f>IF(Data!AD51&lt;=QUARTILE(Data!AD$4:AD$195,1),1,IF(Data!AD51&lt;=MEDIAN(Data!AD$4:AD$195),2,IF(Data!AD51&lt;=QUARTILE(Data!AD$4:AD$195,3),3,4)))</f>
        <v>4</v>
      </c>
      <c r="AE51" s="4">
        <f>IF(Data!AE51&lt;=QUARTILE(Data!AE$4:AE$195,1),1,IF(Data!AE51&lt;=MEDIAN(Data!AE$4:AE$195),2,IF(Data!AE51&lt;=QUARTILE(Data!AE$4:AE$195,3),3,4)))</f>
        <v>2</v>
      </c>
      <c r="AF51" s="3">
        <f>IF(Data!AF51&lt;=QUARTILE(Data!AF$4:AF$195,1),1,IF(Data!AF51&lt;=MEDIAN(Data!AF$4:AF$195),2,IF(Data!AF51&lt;=QUARTILE(Data!AF$4:AF$195,3),3,4)))</f>
        <v>1</v>
      </c>
      <c r="AG51" s="3">
        <f>IF(Data!AG51&lt;=QUARTILE(Data!AG$4:AG$195,1),1,IF(Data!AG51&lt;=MEDIAN(Data!AG$4:AG$195),2,IF(Data!AG51&lt;=QUARTILE(Data!AG$4:AG$195,3),3,4)))</f>
        <v>1</v>
      </c>
      <c r="AH51" s="3">
        <f>IF(Data!AH51&lt;=QUARTILE(Data!AH$4:AH$195,1),1,IF(Data!AH51&lt;=MEDIAN(Data!AH$4:AH$195),2,IF(Data!AH51&lt;=QUARTILE(Data!AH$4:AH$195,3),3,4)))</f>
        <v>1</v>
      </c>
      <c r="AI51" s="14">
        <f>IF(Data!AI51&lt;=QUARTILE(Data!AI$4:AI$195,1),1,IF(Data!AI51&lt;=MEDIAN(Data!AI$4:AI$195),2,IF(Data!AI51&lt;=QUARTILE(Data!AI$4:AI$195,3),3,4)))</f>
        <v>3</v>
      </c>
      <c r="AJ51" s="15">
        <f>IF(Data!AJ51&lt;=QUARTILE(Data!AJ$4:AJ$195,1),1,IF(Data!AJ51&lt;=MEDIAN(Data!AJ$4:AJ$195),2,IF(Data!AJ51&lt;=QUARTILE(Data!AJ$4:AJ$195,3),3,4)))</f>
        <v>4</v>
      </c>
      <c r="AK51" s="14">
        <f>IF(Data!AK51&lt;=QUARTILE(Data!AK$4:AK$195,1),1,IF(Data!AK51&lt;=MEDIAN(Data!AK$4:AK$195),2,IF(Data!AK51&lt;=QUARTILE(Data!AK$4:AK$195,3),3,4)))</f>
        <v>4</v>
      </c>
      <c r="AL51" s="19">
        <f>IF(Data!AL51&lt;=QUARTILE(Data!AL$4:AL$195,1),1,IF(Data!AL51&lt;=MEDIAN(Data!AL$4:AL$195),2,IF(Data!AL51&lt;=QUARTILE(Data!AL$4:AL$195,3),3,4)))</f>
        <v>4</v>
      </c>
      <c r="AM51" s="19">
        <f>IF(Data!AM51&lt;=QUARTILE(Data!AM$4:AM$195,1),1,IF(Data!AM51&lt;=MEDIAN(Data!AM$4:AM$195),2,IF(Data!AM51&lt;=QUARTILE(Data!AM$4:AM$195,3),3,4)))</f>
        <v>4</v>
      </c>
      <c r="AN51" s="15">
        <f>IF(Data!AN51&lt;=QUARTILE(Data!AN$4:AN$195,1),1,IF(Data!AN51&lt;=MEDIAN(Data!AN$4:AN$195),2,IF(Data!AN51&lt;=QUARTILE(Data!AN$4:AN$195,3),3,4)))</f>
        <v>4</v>
      </c>
      <c r="AO51" s="14">
        <f>IF(Data!AO51&lt;=QUARTILE(Data!AO$4:AO$195,1),1,IF(Data!AO51&lt;=MEDIAN(Data!AO$4:AO$195),2,IF(Data!AO51&lt;=QUARTILE(Data!AO$4:AO$195,3),3,4)))</f>
        <v>4</v>
      </c>
      <c r="AP51" s="19">
        <f>IF(Data!AP51&lt;=QUARTILE(Data!AP$4:AP$195,1),1,IF(Data!AP51&lt;=MEDIAN(Data!AP$4:AP$195),2,IF(Data!AP51&lt;=QUARTILE(Data!AP$4:AP$195,3),3,4)))</f>
        <v>3</v>
      </c>
      <c r="AQ51" s="19">
        <f>IF(Data!AQ51&lt;=QUARTILE(Data!AQ$4:AQ$195,1),1,IF(Data!AQ51&lt;=MEDIAN(Data!AQ$4:AQ$195),2,IF(Data!AQ51&lt;=QUARTILE(Data!AQ$4:AQ$195,3),3,4)))</f>
        <v>4</v>
      </c>
      <c r="AR51" s="19">
        <f>IF(Data!AR51&lt;=QUARTILE(Data!AR$4:AR$195,1),1,IF(Data!AR51&lt;=MEDIAN(Data!AR$4:AR$195),2,IF(Data!AR51&lt;=QUARTILE(Data!AR$4:AR$195,3),3,4)))</f>
        <v>2</v>
      </c>
      <c r="AS51" s="19">
        <f>IF(Data!AS51&lt;=QUARTILE(Data!AS$4:AS$195,1),1,IF(Data!AS51&lt;=MEDIAN(Data!AS$4:AS$195),2,IF(Data!AS51&lt;=QUARTILE(Data!AS$4:AS$195,3),3,4)))</f>
        <v>4</v>
      </c>
      <c r="AT51" s="19">
        <f>IF(Data!AT51&lt;=QUARTILE(Data!AT$4:AT$195,1),1,IF(Data!AT51&lt;=MEDIAN(Data!AT$4:AT$195),2,IF(Data!AT51&lt;=QUARTILE(Data!AT$4:AT$195,3),3,4)))</f>
        <v>1</v>
      </c>
      <c r="AU51" s="15">
        <f>IF(Data!AU51&lt;=QUARTILE(Data!AU$4:AU$195,1),1,IF(Data!AU51&lt;=MEDIAN(Data!AU$4:AU$195),2,IF(Data!AU51&lt;=QUARTILE(Data!AU$4:AU$195,3),3,4)))</f>
        <v>1</v>
      </c>
      <c r="AV51" s="14">
        <f>IF(Data!AV51&lt;=QUARTILE(Data!AV$4:AV$195,1),1,IF(Data!AV51&lt;=MEDIAN(Data!AV$4:AV$195),2,IF(Data!AV51&lt;=QUARTILE(Data!AV$4:AV$195,3),3,4)))</f>
        <v>4</v>
      </c>
      <c r="AW51" s="19">
        <f>IF(Data!AW51&lt;=QUARTILE(Data!AW$4:AW$195,1),1,IF(Data!AW51&lt;=MEDIAN(Data!AW$4:AW$195),2,IF(Data!AW51&lt;=QUARTILE(Data!AW$4:AW$195,3),3,4)))</f>
        <v>4</v>
      </c>
      <c r="AX51" s="19">
        <f>IF(Data!AX51&lt;=QUARTILE(Data!AX$4:AX$195,1),1,IF(Data!AX51&lt;=MEDIAN(Data!AX$4:AX$195),2,IF(Data!AX51&lt;=QUARTILE(Data!AX$4:AX$195,3),3,4)))</f>
        <v>4</v>
      </c>
      <c r="AY51" s="15">
        <f>IF(Data!AY51&lt;=QUARTILE(Data!AY$4:AY$195,1),1,IF(Data!AY51&lt;=MEDIAN(Data!AY$4:AY$195),2,IF(Data!AY51&lt;=QUARTILE(Data!AY$4:AY$195,3),3,4)))</f>
        <v>4</v>
      </c>
      <c r="AZ51" s="14">
        <f>IF(Data!AZ51&lt;=QUARTILE(Data!AZ$4:AZ$195,1),1,IF(Data!AZ51&lt;=MEDIAN(Data!AZ$4:AZ$195),2,IF(Data!AZ51&lt;=QUARTILE(Data!AZ$4:AZ$195,3),3,4)))</f>
        <v>1</v>
      </c>
      <c r="BA51" s="15">
        <f>IF(Data!BA51&lt;=QUARTILE(Data!BA$4:BA$195,1),1,IF(Data!BA51&lt;=MEDIAN(Data!BA$4:BA$195),2,IF(Data!BA51&lt;=QUARTILE(Data!BA$4:BA$195,3),3,4)))</f>
        <v>4</v>
      </c>
    </row>
    <row r="52" spans="1:53" x14ac:dyDescent="0.25">
      <c r="A52" s="4" t="s">
        <v>5</v>
      </c>
      <c r="B52" s="40">
        <v>2008</v>
      </c>
      <c r="C52" s="14">
        <v>11</v>
      </c>
      <c r="D52" s="19">
        <v>5</v>
      </c>
      <c r="E52" s="74" t="s">
        <v>97</v>
      </c>
      <c r="F52" s="19">
        <v>-0.5</v>
      </c>
      <c r="G52" s="19">
        <v>-2.4</v>
      </c>
      <c r="H52" s="15">
        <v>1.8</v>
      </c>
      <c r="I52" s="14">
        <f>IF(Data!I52&lt;=QUARTILE(Data!I$4:I$195,1),1,IF(Data!I52&lt;=MEDIAN(Data!I$4:I$195),2,IF(Data!I52&lt;=QUARTILE(Data!I$4:I$195,3),3,4)))</f>
        <v>3</v>
      </c>
      <c r="J52" s="19">
        <f>IF(Data!J52&lt;=QUARTILE(Data!J$4:J$195,1),1,IF(Data!J52&lt;=MEDIAN(Data!J$4:J$195),2,IF(Data!J52&lt;=QUARTILE(Data!J$4:J$195,3),3,4)))</f>
        <v>3</v>
      </c>
      <c r="K52" s="19">
        <f>IF(Data!K52&lt;=QUARTILE(Data!K$4:K$195,1),1,IF(Data!K52&lt;=MEDIAN(Data!K$4:K$195),2,IF(Data!K52&lt;=QUARTILE(Data!K$4:K$195,3),3,4)))</f>
        <v>1</v>
      </c>
      <c r="L52" s="15">
        <f>IF(Data!L52&lt;=QUARTILE(Data!L$4:L$195,1),1,IF(Data!L52&lt;=MEDIAN(Data!L$4:L$195),2,IF(Data!L52&lt;=QUARTILE(Data!L$4:L$195,3),3,4)))</f>
        <v>3</v>
      </c>
      <c r="M52" s="14">
        <f>IF(Data!M52&lt;=QUARTILE(Data!M$4:M$195,1),1,IF(Data!M52&lt;=MEDIAN(Data!M$4:M$195),2,IF(Data!M52&lt;=QUARTILE(Data!M$4:M$195,3),3,4)))</f>
        <v>3</v>
      </c>
      <c r="N52" s="19">
        <f>IF(Data!N52&lt;=QUARTILE(Data!N$4:N$195,1),1,IF(Data!N52&lt;=MEDIAN(Data!N$4:N$195),2,IF(Data!N52&lt;=QUARTILE(Data!N$4:N$195,3),3,4)))</f>
        <v>2</v>
      </c>
      <c r="O52" s="19">
        <f>IF(Data!O52&lt;=QUARTILE(Data!O$4:O$195,1),1,IF(Data!O52&lt;=MEDIAN(Data!O$4:O$195),2,IF(Data!O52&lt;=QUARTILE(Data!O$4:O$195,3),3,4)))</f>
        <v>3</v>
      </c>
      <c r="P52" s="19">
        <f>IF(Data!P52&lt;=QUARTILE(Data!P$4:P$195,1),1,IF(Data!P52&lt;=MEDIAN(Data!P$4:P$195),2,IF(Data!P52&lt;=QUARTILE(Data!P$4:P$195,3),3,4)))</f>
        <v>2</v>
      </c>
      <c r="Q52" s="19">
        <f>IF(Data!Q52&lt;=QUARTILE(Data!Q$4:Q$195,1),1,IF(Data!Q52&lt;=MEDIAN(Data!Q$4:Q$195),2,IF(Data!Q52&lt;=QUARTILE(Data!Q$4:Q$195,3),3,4)))</f>
        <v>3</v>
      </c>
      <c r="R52" s="19">
        <f>IF(Data!R52&lt;=QUARTILE(Data!R$4:R$195,1),1,IF(Data!R52&lt;=MEDIAN(Data!R$4:R$195),2,IF(Data!R52&lt;=QUARTILE(Data!R$4:R$195,3),3,4)))</f>
        <v>4</v>
      </c>
      <c r="S52" s="19">
        <f>IF(Data!S52&lt;=QUARTILE(Data!S$4:S$195,1),1,IF(Data!S52&lt;=MEDIAN(Data!S$4:S$195),2,IF(Data!S52&lt;=QUARTILE(Data!S$4:S$195,3),3,4)))</f>
        <v>1</v>
      </c>
      <c r="T52" s="15">
        <f>IF(Data!T52&lt;=QUARTILE(Data!T$4:T$195,1),1,IF(Data!T52&lt;=MEDIAN(Data!T$4:T$195),2,IF(Data!T52&lt;=QUARTILE(Data!T$4:T$195,3),3,4)))</f>
        <v>1</v>
      </c>
      <c r="U52" s="14">
        <f>IF(Data!U52&lt;=QUARTILE(Data!U$4:U$195,1),1,IF(Data!U52&lt;=MEDIAN(Data!U$4:U$195),2,IF(Data!U52&lt;=QUARTILE(Data!U$4:U$195,3),3,4)))</f>
        <v>3</v>
      </c>
      <c r="V52" s="19">
        <f>IF(Data!V52&lt;=QUARTILE(Data!V$4:V$195,1),1,IF(Data!V52&lt;=MEDIAN(Data!V$4:V$195),2,IF(Data!V52&lt;=QUARTILE(Data!V$4:V$195,3),3,4)))</f>
        <v>3</v>
      </c>
      <c r="W52" s="19">
        <f>IF(Data!W52&lt;=QUARTILE(Data!W$4:W$195,1),1,IF(Data!W52&lt;=MEDIAN(Data!W$4:W$195),2,IF(Data!W52&lt;=QUARTILE(Data!W$4:W$195,3),3,4)))</f>
        <v>4</v>
      </c>
      <c r="X52" s="15">
        <f>IF(Data!X52&lt;=QUARTILE(Data!X$4:X$195,1),1,IF(Data!X52&lt;=MEDIAN(Data!X$4:X$195),2,IF(Data!X52&lt;=QUARTILE(Data!X$4:X$195,3),3,4)))</f>
        <v>4</v>
      </c>
      <c r="Y52" s="14">
        <f>IF(Data!Y52&lt;=QUARTILE(Data!Y$4:Y$195,1),1,IF(Data!Y52&lt;=MEDIAN(Data!Y$4:Y$195),2,IF(Data!Y52&lt;=QUARTILE(Data!Y$4:Y$195,3),3,4)))</f>
        <v>1</v>
      </c>
      <c r="Z52" s="15">
        <f>IF(Data!Z52&lt;=QUARTILE(Data!Z$4:Z$195,1),1,IF(Data!Z52&lt;=MEDIAN(Data!Z$4:Z$195),2,IF(Data!Z52&lt;=QUARTILE(Data!Z$4:Z$195,3),3,4)))</f>
        <v>4</v>
      </c>
      <c r="AA52" s="14">
        <f>IF(Data!AA52&lt;=QUARTILE(Data!AA$4:AA$195,1),1,IF(Data!AA52&lt;=MEDIAN(Data!AA$4:AA$195),2,IF(Data!AA52&lt;=QUARTILE(Data!AA$4:AA$195,3),3,4)))</f>
        <v>1</v>
      </c>
      <c r="AB52" s="15">
        <f>IF(Data!AB52&lt;=QUARTILE(Data!AB$4:AB$195,1),1,IF(Data!AB52&lt;=MEDIAN(Data!AB$4:AB$195),2,IF(Data!AB52&lt;=QUARTILE(Data!AB$4:AB$195,3),3,4)))</f>
        <v>2</v>
      </c>
      <c r="AC52" s="14">
        <f>IF(Data!AC52&lt;=QUARTILE(Data!AC$4:AC$195,1),1,IF(Data!AC52&lt;=MEDIAN(Data!AC$4:AC$195),2,IF(Data!AC52&lt;=QUARTILE(Data!AC$4:AC$195,3),3,4)))</f>
        <v>2</v>
      </c>
      <c r="AD52" s="15">
        <f>IF(Data!AD52&lt;=QUARTILE(Data!AD$4:AD$195,1),1,IF(Data!AD52&lt;=MEDIAN(Data!AD$4:AD$195),2,IF(Data!AD52&lt;=QUARTILE(Data!AD$4:AD$195,3),3,4)))</f>
        <v>1</v>
      </c>
      <c r="AE52" s="4">
        <f>IF(Data!AE52&lt;=QUARTILE(Data!AE$4:AE$195,1),1,IF(Data!AE52&lt;=MEDIAN(Data!AE$4:AE$195),2,IF(Data!AE52&lt;=QUARTILE(Data!AE$4:AE$195,3),3,4)))</f>
        <v>1</v>
      </c>
      <c r="AF52" s="3">
        <f>IF(Data!AF52&lt;=QUARTILE(Data!AF$4:AF$195,1),1,IF(Data!AF52&lt;=MEDIAN(Data!AF$4:AF$195),2,IF(Data!AF52&lt;=QUARTILE(Data!AF$4:AF$195,3),3,4)))</f>
        <v>1</v>
      </c>
      <c r="AG52" s="3">
        <f>IF(Data!AG52&lt;=QUARTILE(Data!AG$4:AG$195,1),1,IF(Data!AG52&lt;=MEDIAN(Data!AG$4:AG$195),2,IF(Data!AG52&lt;=QUARTILE(Data!AG$4:AG$195,3),3,4)))</f>
        <v>3</v>
      </c>
      <c r="AH52" s="3">
        <f>IF(Data!AH52&lt;=QUARTILE(Data!AH$4:AH$195,1),1,IF(Data!AH52&lt;=MEDIAN(Data!AH$4:AH$195),2,IF(Data!AH52&lt;=QUARTILE(Data!AH$4:AH$195,3),3,4)))</f>
        <v>3</v>
      </c>
      <c r="AI52" s="14">
        <f>IF(Data!AI52&lt;=QUARTILE(Data!AI$4:AI$195,1),1,IF(Data!AI52&lt;=MEDIAN(Data!AI$4:AI$195),2,IF(Data!AI52&lt;=QUARTILE(Data!AI$4:AI$195,3),3,4)))</f>
        <v>2</v>
      </c>
      <c r="AJ52" s="15">
        <f>IF(Data!AJ52&lt;=QUARTILE(Data!AJ$4:AJ$195,1),1,IF(Data!AJ52&lt;=MEDIAN(Data!AJ$4:AJ$195),2,IF(Data!AJ52&lt;=QUARTILE(Data!AJ$4:AJ$195,3),3,4)))</f>
        <v>3</v>
      </c>
      <c r="AK52" s="14">
        <f>IF(Data!AK52&lt;=QUARTILE(Data!AK$4:AK$195,1),1,IF(Data!AK52&lt;=MEDIAN(Data!AK$4:AK$195),2,IF(Data!AK52&lt;=QUARTILE(Data!AK$4:AK$195,3),3,4)))</f>
        <v>2</v>
      </c>
      <c r="AL52" s="19">
        <f>IF(Data!AL52&lt;=QUARTILE(Data!AL$4:AL$195,1),1,IF(Data!AL52&lt;=MEDIAN(Data!AL$4:AL$195),2,IF(Data!AL52&lt;=QUARTILE(Data!AL$4:AL$195,3),3,4)))</f>
        <v>3</v>
      </c>
      <c r="AM52" s="19">
        <f>IF(Data!AM52&lt;=QUARTILE(Data!AM$4:AM$195,1),1,IF(Data!AM52&lt;=MEDIAN(Data!AM$4:AM$195),2,IF(Data!AM52&lt;=QUARTILE(Data!AM$4:AM$195,3),3,4)))</f>
        <v>2</v>
      </c>
      <c r="AN52" s="15">
        <f>IF(Data!AN52&lt;=QUARTILE(Data!AN$4:AN$195,1),1,IF(Data!AN52&lt;=MEDIAN(Data!AN$4:AN$195),2,IF(Data!AN52&lt;=QUARTILE(Data!AN$4:AN$195,3),3,4)))</f>
        <v>2</v>
      </c>
      <c r="AO52" s="14">
        <f>IF(Data!AO52&lt;=QUARTILE(Data!AO$4:AO$195,1),1,IF(Data!AO52&lt;=MEDIAN(Data!AO$4:AO$195),2,IF(Data!AO52&lt;=QUARTILE(Data!AO$4:AO$195,3),3,4)))</f>
        <v>3</v>
      </c>
      <c r="AP52" s="19">
        <f>IF(Data!AP52&lt;=QUARTILE(Data!AP$4:AP$195,1),1,IF(Data!AP52&lt;=MEDIAN(Data!AP$4:AP$195),2,IF(Data!AP52&lt;=QUARTILE(Data!AP$4:AP$195,3),3,4)))</f>
        <v>4</v>
      </c>
      <c r="AQ52" s="19">
        <f>IF(Data!AQ52&lt;=QUARTILE(Data!AQ$4:AQ$195,1),1,IF(Data!AQ52&lt;=MEDIAN(Data!AQ$4:AQ$195),2,IF(Data!AQ52&lt;=QUARTILE(Data!AQ$4:AQ$195,3),3,4)))</f>
        <v>4</v>
      </c>
      <c r="AR52" s="19">
        <f>IF(Data!AR52&lt;=QUARTILE(Data!AR$4:AR$195,1),1,IF(Data!AR52&lt;=MEDIAN(Data!AR$4:AR$195),2,IF(Data!AR52&lt;=QUARTILE(Data!AR$4:AR$195,3),3,4)))</f>
        <v>1</v>
      </c>
      <c r="AS52" s="19">
        <f>IF(Data!AS52&lt;=QUARTILE(Data!AS$4:AS$195,1),1,IF(Data!AS52&lt;=MEDIAN(Data!AS$4:AS$195),2,IF(Data!AS52&lt;=QUARTILE(Data!AS$4:AS$195,3),3,4)))</f>
        <v>2</v>
      </c>
      <c r="AT52" s="19">
        <f>IF(Data!AT52&lt;=QUARTILE(Data!AT$4:AT$195,1),1,IF(Data!AT52&lt;=MEDIAN(Data!AT$4:AT$195),2,IF(Data!AT52&lt;=QUARTILE(Data!AT$4:AT$195,3),3,4)))</f>
        <v>3</v>
      </c>
      <c r="AU52" s="15">
        <f>IF(Data!AU52&lt;=QUARTILE(Data!AU$4:AU$195,1),1,IF(Data!AU52&lt;=MEDIAN(Data!AU$4:AU$195),2,IF(Data!AU52&lt;=QUARTILE(Data!AU$4:AU$195,3),3,4)))</f>
        <v>2</v>
      </c>
      <c r="AV52" s="14">
        <f>IF(Data!AV52&lt;=QUARTILE(Data!AV$4:AV$195,1),1,IF(Data!AV52&lt;=MEDIAN(Data!AV$4:AV$195),2,IF(Data!AV52&lt;=QUARTILE(Data!AV$4:AV$195,3),3,4)))</f>
        <v>1</v>
      </c>
      <c r="AW52" s="19">
        <f>IF(Data!AW52&lt;=QUARTILE(Data!AW$4:AW$195,1),1,IF(Data!AW52&lt;=MEDIAN(Data!AW$4:AW$195),2,IF(Data!AW52&lt;=QUARTILE(Data!AW$4:AW$195,3),3,4)))</f>
        <v>2</v>
      </c>
      <c r="AX52" s="19">
        <f>IF(Data!AX52&lt;=QUARTILE(Data!AX$4:AX$195,1),1,IF(Data!AX52&lt;=MEDIAN(Data!AX$4:AX$195),2,IF(Data!AX52&lt;=QUARTILE(Data!AX$4:AX$195,3),3,4)))</f>
        <v>2</v>
      </c>
      <c r="AY52" s="15">
        <f>IF(Data!AY52&lt;=QUARTILE(Data!AY$4:AY$195,1),1,IF(Data!AY52&lt;=MEDIAN(Data!AY$4:AY$195),2,IF(Data!AY52&lt;=QUARTILE(Data!AY$4:AY$195,3),3,4)))</f>
        <v>2</v>
      </c>
      <c r="AZ52" s="14">
        <f>IF(Data!AZ52&lt;=QUARTILE(Data!AZ$4:AZ$195,1),1,IF(Data!AZ52&lt;=MEDIAN(Data!AZ$4:AZ$195),2,IF(Data!AZ52&lt;=QUARTILE(Data!AZ$4:AZ$195,3),3,4)))</f>
        <v>3</v>
      </c>
      <c r="BA52" s="15">
        <f>IF(Data!BA52&lt;=QUARTILE(Data!BA$4:BA$195,1),1,IF(Data!BA52&lt;=MEDIAN(Data!BA$4:BA$195),2,IF(Data!BA52&lt;=QUARTILE(Data!BA$4:BA$195,3),3,4)))</f>
        <v>3</v>
      </c>
    </row>
    <row r="53" spans="1:53" x14ac:dyDescent="0.25">
      <c r="A53" s="4" t="s">
        <v>23</v>
      </c>
      <c r="B53" s="40">
        <v>2008</v>
      </c>
      <c r="C53" s="14">
        <v>10</v>
      </c>
      <c r="D53" s="19">
        <v>6</v>
      </c>
      <c r="E53" s="74" t="s">
        <v>97</v>
      </c>
      <c r="F53" s="19">
        <v>4</v>
      </c>
      <c r="G53" s="19">
        <v>1.1000000000000001</v>
      </c>
      <c r="H53" s="15">
        <v>2.9</v>
      </c>
      <c r="I53" s="14">
        <f>IF(Data!I53&lt;=QUARTILE(Data!I$4:I$195,1),1,IF(Data!I53&lt;=MEDIAN(Data!I$4:I$195),2,IF(Data!I53&lt;=QUARTILE(Data!I$4:I$195,3),3,4)))</f>
        <v>3</v>
      </c>
      <c r="J53" s="19">
        <f>IF(Data!J53&lt;=QUARTILE(Data!J$4:J$195,1),1,IF(Data!J53&lt;=MEDIAN(Data!J$4:J$195),2,IF(Data!J53&lt;=QUARTILE(Data!J$4:J$195,3),3,4)))</f>
        <v>3</v>
      </c>
      <c r="K53" s="19">
        <f>IF(Data!K53&lt;=QUARTILE(Data!K$4:K$195,1),1,IF(Data!K53&lt;=MEDIAN(Data!K$4:K$195),2,IF(Data!K53&lt;=QUARTILE(Data!K$4:K$195,3),3,4)))</f>
        <v>3</v>
      </c>
      <c r="L53" s="15">
        <f>IF(Data!L53&lt;=QUARTILE(Data!L$4:L$195,1),1,IF(Data!L53&lt;=MEDIAN(Data!L$4:L$195),2,IF(Data!L53&lt;=QUARTILE(Data!L$4:L$195,3),3,4)))</f>
        <v>2</v>
      </c>
      <c r="M53" s="14">
        <f>IF(Data!M53&lt;=QUARTILE(Data!M$4:M$195,1),1,IF(Data!M53&lt;=MEDIAN(Data!M$4:M$195),2,IF(Data!M53&lt;=QUARTILE(Data!M$4:M$195,3),3,4)))</f>
        <v>1</v>
      </c>
      <c r="N53" s="19">
        <f>IF(Data!N53&lt;=QUARTILE(Data!N$4:N$195,1),1,IF(Data!N53&lt;=MEDIAN(Data!N$4:N$195),2,IF(Data!N53&lt;=QUARTILE(Data!N$4:N$195,3),3,4)))</f>
        <v>1</v>
      </c>
      <c r="O53" s="19">
        <f>IF(Data!O53&lt;=QUARTILE(Data!O$4:O$195,1),1,IF(Data!O53&lt;=MEDIAN(Data!O$4:O$195),2,IF(Data!O53&lt;=QUARTILE(Data!O$4:O$195,3),3,4)))</f>
        <v>2</v>
      </c>
      <c r="P53" s="19">
        <f>IF(Data!P53&lt;=QUARTILE(Data!P$4:P$195,1),1,IF(Data!P53&lt;=MEDIAN(Data!P$4:P$195),2,IF(Data!P53&lt;=QUARTILE(Data!P$4:P$195,3),3,4)))</f>
        <v>3</v>
      </c>
      <c r="Q53" s="19">
        <f>IF(Data!Q53&lt;=QUARTILE(Data!Q$4:Q$195,1),1,IF(Data!Q53&lt;=MEDIAN(Data!Q$4:Q$195),2,IF(Data!Q53&lt;=QUARTILE(Data!Q$4:Q$195,3),3,4)))</f>
        <v>1</v>
      </c>
      <c r="R53" s="19">
        <f>IF(Data!R53&lt;=QUARTILE(Data!R$4:R$195,1),1,IF(Data!R53&lt;=MEDIAN(Data!R$4:R$195),2,IF(Data!R53&lt;=QUARTILE(Data!R$4:R$195,3),3,4)))</f>
        <v>3</v>
      </c>
      <c r="S53" s="19">
        <f>IF(Data!S53&lt;=QUARTILE(Data!S$4:S$195,1),1,IF(Data!S53&lt;=MEDIAN(Data!S$4:S$195),2,IF(Data!S53&lt;=QUARTILE(Data!S$4:S$195,3),3,4)))</f>
        <v>3</v>
      </c>
      <c r="T53" s="15">
        <f>IF(Data!T53&lt;=QUARTILE(Data!T$4:T$195,1),1,IF(Data!T53&lt;=MEDIAN(Data!T$4:T$195),2,IF(Data!T53&lt;=QUARTILE(Data!T$4:T$195,3),3,4)))</f>
        <v>3</v>
      </c>
      <c r="U53" s="14">
        <f>IF(Data!U53&lt;=QUARTILE(Data!U$4:U$195,1),1,IF(Data!U53&lt;=MEDIAN(Data!U$4:U$195),2,IF(Data!U53&lt;=QUARTILE(Data!U$4:U$195,3),3,4)))</f>
        <v>4</v>
      </c>
      <c r="V53" s="19">
        <f>IF(Data!V53&lt;=QUARTILE(Data!V$4:V$195,1),1,IF(Data!V53&lt;=MEDIAN(Data!V$4:V$195),2,IF(Data!V53&lt;=QUARTILE(Data!V$4:V$195,3),3,4)))</f>
        <v>4</v>
      </c>
      <c r="W53" s="19">
        <f>IF(Data!W53&lt;=QUARTILE(Data!W$4:W$195,1),1,IF(Data!W53&lt;=MEDIAN(Data!W$4:W$195),2,IF(Data!W53&lt;=QUARTILE(Data!W$4:W$195,3),3,4)))</f>
        <v>3</v>
      </c>
      <c r="X53" s="15">
        <f>IF(Data!X53&lt;=QUARTILE(Data!X$4:X$195,1),1,IF(Data!X53&lt;=MEDIAN(Data!X$4:X$195),2,IF(Data!X53&lt;=QUARTILE(Data!X$4:X$195,3),3,4)))</f>
        <v>4</v>
      </c>
      <c r="Y53" s="14">
        <f>IF(Data!Y53&lt;=QUARTILE(Data!Y$4:Y$195,1),1,IF(Data!Y53&lt;=MEDIAN(Data!Y$4:Y$195),2,IF(Data!Y53&lt;=QUARTILE(Data!Y$4:Y$195,3),3,4)))</f>
        <v>3</v>
      </c>
      <c r="Z53" s="15">
        <f>IF(Data!Z53&lt;=QUARTILE(Data!Z$4:Z$195,1),1,IF(Data!Z53&lt;=MEDIAN(Data!Z$4:Z$195),2,IF(Data!Z53&lt;=QUARTILE(Data!Z$4:Z$195,3),3,4)))</f>
        <v>4</v>
      </c>
      <c r="AA53" s="14">
        <f>IF(Data!AA53&lt;=QUARTILE(Data!AA$4:AA$195,1),1,IF(Data!AA53&lt;=MEDIAN(Data!AA$4:AA$195),2,IF(Data!AA53&lt;=QUARTILE(Data!AA$4:AA$195,3),3,4)))</f>
        <v>2</v>
      </c>
      <c r="AB53" s="15">
        <f>IF(Data!AB53&lt;=QUARTILE(Data!AB$4:AB$195,1),1,IF(Data!AB53&lt;=MEDIAN(Data!AB$4:AB$195),2,IF(Data!AB53&lt;=QUARTILE(Data!AB$4:AB$195,3),3,4)))</f>
        <v>2</v>
      </c>
      <c r="AC53" s="14">
        <f>IF(Data!AC53&lt;=QUARTILE(Data!AC$4:AC$195,1),1,IF(Data!AC53&lt;=MEDIAN(Data!AC$4:AC$195),2,IF(Data!AC53&lt;=QUARTILE(Data!AC$4:AC$195,3),3,4)))</f>
        <v>2</v>
      </c>
      <c r="AD53" s="15">
        <f>IF(Data!AD53&lt;=QUARTILE(Data!AD$4:AD$195,1),1,IF(Data!AD53&lt;=MEDIAN(Data!AD$4:AD$195),2,IF(Data!AD53&lt;=QUARTILE(Data!AD$4:AD$195,3),3,4)))</f>
        <v>2</v>
      </c>
      <c r="AE53" s="4">
        <f>IF(Data!AE53&lt;=QUARTILE(Data!AE$4:AE$195,1),1,IF(Data!AE53&lt;=MEDIAN(Data!AE$4:AE$195),2,IF(Data!AE53&lt;=QUARTILE(Data!AE$4:AE$195,3),3,4)))</f>
        <v>3</v>
      </c>
      <c r="AF53" s="3">
        <f>IF(Data!AF53&lt;=QUARTILE(Data!AF$4:AF$195,1),1,IF(Data!AF53&lt;=MEDIAN(Data!AF$4:AF$195),2,IF(Data!AF53&lt;=QUARTILE(Data!AF$4:AF$195,3),3,4)))</f>
        <v>3</v>
      </c>
      <c r="AG53" s="3">
        <f>IF(Data!AG53&lt;=QUARTILE(Data!AG$4:AG$195,1),1,IF(Data!AG53&lt;=MEDIAN(Data!AG$4:AG$195),2,IF(Data!AG53&lt;=QUARTILE(Data!AG$4:AG$195,3),3,4)))</f>
        <v>4</v>
      </c>
      <c r="AH53" s="3">
        <f>IF(Data!AH53&lt;=QUARTILE(Data!AH$4:AH$195,1),1,IF(Data!AH53&lt;=MEDIAN(Data!AH$4:AH$195),2,IF(Data!AH53&lt;=QUARTILE(Data!AH$4:AH$195,3),3,4)))</f>
        <v>4</v>
      </c>
      <c r="AI53" s="14">
        <f>IF(Data!AI53&lt;=QUARTILE(Data!AI$4:AI$195,1),1,IF(Data!AI53&lt;=MEDIAN(Data!AI$4:AI$195),2,IF(Data!AI53&lt;=QUARTILE(Data!AI$4:AI$195,3),3,4)))</f>
        <v>2</v>
      </c>
      <c r="AJ53" s="15">
        <f>IF(Data!AJ53&lt;=QUARTILE(Data!AJ$4:AJ$195,1),1,IF(Data!AJ53&lt;=MEDIAN(Data!AJ$4:AJ$195),2,IF(Data!AJ53&lt;=QUARTILE(Data!AJ$4:AJ$195,3),3,4)))</f>
        <v>3</v>
      </c>
      <c r="AK53" s="14">
        <f>IF(Data!AK53&lt;=QUARTILE(Data!AK$4:AK$195,1),1,IF(Data!AK53&lt;=MEDIAN(Data!AK$4:AK$195),2,IF(Data!AK53&lt;=QUARTILE(Data!AK$4:AK$195,3),3,4)))</f>
        <v>2</v>
      </c>
      <c r="AL53" s="19">
        <f>IF(Data!AL53&lt;=QUARTILE(Data!AL$4:AL$195,1),1,IF(Data!AL53&lt;=MEDIAN(Data!AL$4:AL$195),2,IF(Data!AL53&lt;=QUARTILE(Data!AL$4:AL$195,3),3,4)))</f>
        <v>1</v>
      </c>
      <c r="AM53" s="19">
        <f>IF(Data!AM53&lt;=QUARTILE(Data!AM$4:AM$195,1),1,IF(Data!AM53&lt;=MEDIAN(Data!AM$4:AM$195),2,IF(Data!AM53&lt;=QUARTILE(Data!AM$4:AM$195,3),3,4)))</f>
        <v>1</v>
      </c>
      <c r="AN53" s="15">
        <f>IF(Data!AN53&lt;=QUARTILE(Data!AN$4:AN$195,1),1,IF(Data!AN53&lt;=MEDIAN(Data!AN$4:AN$195),2,IF(Data!AN53&lt;=QUARTILE(Data!AN$4:AN$195,3),3,4)))</f>
        <v>1</v>
      </c>
      <c r="AO53" s="14">
        <f>IF(Data!AO53&lt;=QUARTILE(Data!AO$4:AO$195,1),1,IF(Data!AO53&lt;=MEDIAN(Data!AO$4:AO$195),2,IF(Data!AO53&lt;=QUARTILE(Data!AO$4:AO$195,3),3,4)))</f>
        <v>3</v>
      </c>
      <c r="AP53" s="19">
        <f>IF(Data!AP53&lt;=QUARTILE(Data!AP$4:AP$195,1),1,IF(Data!AP53&lt;=MEDIAN(Data!AP$4:AP$195),2,IF(Data!AP53&lt;=QUARTILE(Data!AP$4:AP$195,3),3,4)))</f>
        <v>3</v>
      </c>
      <c r="AQ53" s="19">
        <f>IF(Data!AQ53&lt;=QUARTILE(Data!AQ$4:AQ$195,1),1,IF(Data!AQ53&lt;=MEDIAN(Data!AQ$4:AQ$195),2,IF(Data!AQ53&lt;=QUARTILE(Data!AQ$4:AQ$195,3),3,4)))</f>
        <v>3</v>
      </c>
      <c r="AR53" s="19">
        <f>IF(Data!AR53&lt;=QUARTILE(Data!AR$4:AR$195,1),1,IF(Data!AR53&lt;=MEDIAN(Data!AR$4:AR$195),2,IF(Data!AR53&lt;=QUARTILE(Data!AR$4:AR$195,3),3,4)))</f>
        <v>1</v>
      </c>
      <c r="AS53" s="19">
        <f>IF(Data!AS53&lt;=QUARTILE(Data!AS$4:AS$195,1),1,IF(Data!AS53&lt;=MEDIAN(Data!AS$4:AS$195),2,IF(Data!AS53&lt;=QUARTILE(Data!AS$4:AS$195,3),3,4)))</f>
        <v>2</v>
      </c>
      <c r="AT53" s="19">
        <f>IF(Data!AT53&lt;=QUARTILE(Data!AT$4:AT$195,1),1,IF(Data!AT53&lt;=MEDIAN(Data!AT$4:AT$195),2,IF(Data!AT53&lt;=QUARTILE(Data!AT$4:AT$195,3),3,4)))</f>
        <v>4</v>
      </c>
      <c r="AU53" s="15">
        <f>IF(Data!AU53&lt;=QUARTILE(Data!AU$4:AU$195,1),1,IF(Data!AU53&lt;=MEDIAN(Data!AU$4:AU$195),2,IF(Data!AU53&lt;=QUARTILE(Data!AU$4:AU$195,3),3,4)))</f>
        <v>4</v>
      </c>
      <c r="AV53" s="14">
        <f>IF(Data!AV53&lt;=QUARTILE(Data!AV$4:AV$195,1),1,IF(Data!AV53&lt;=MEDIAN(Data!AV$4:AV$195),2,IF(Data!AV53&lt;=QUARTILE(Data!AV$4:AV$195,3),3,4)))</f>
        <v>1</v>
      </c>
      <c r="AW53" s="19">
        <f>IF(Data!AW53&lt;=QUARTILE(Data!AW$4:AW$195,1),1,IF(Data!AW53&lt;=MEDIAN(Data!AW$4:AW$195),2,IF(Data!AW53&lt;=QUARTILE(Data!AW$4:AW$195,3),3,4)))</f>
        <v>1</v>
      </c>
      <c r="AX53" s="19">
        <f>IF(Data!AX53&lt;=QUARTILE(Data!AX$4:AX$195,1),1,IF(Data!AX53&lt;=MEDIAN(Data!AX$4:AX$195),2,IF(Data!AX53&lt;=QUARTILE(Data!AX$4:AX$195,3),3,4)))</f>
        <v>1</v>
      </c>
      <c r="AY53" s="15">
        <f>IF(Data!AY53&lt;=QUARTILE(Data!AY$4:AY$195,1),1,IF(Data!AY53&lt;=MEDIAN(Data!AY$4:AY$195),2,IF(Data!AY53&lt;=QUARTILE(Data!AY$4:AY$195,3),3,4)))</f>
        <v>1</v>
      </c>
      <c r="AZ53" s="14">
        <f>IF(Data!AZ53&lt;=QUARTILE(Data!AZ$4:AZ$195,1),1,IF(Data!AZ53&lt;=MEDIAN(Data!AZ$4:AZ$195),2,IF(Data!AZ53&lt;=QUARTILE(Data!AZ$4:AZ$195,3),3,4)))</f>
        <v>1</v>
      </c>
      <c r="BA53" s="15">
        <f>IF(Data!BA53&lt;=QUARTILE(Data!BA$4:BA$195,1),1,IF(Data!BA53&lt;=MEDIAN(Data!BA$4:BA$195),2,IF(Data!BA53&lt;=QUARTILE(Data!BA$4:BA$195,3),3,4)))</f>
        <v>3</v>
      </c>
    </row>
    <row r="54" spans="1:53" x14ac:dyDescent="0.25">
      <c r="A54" s="4" t="s">
        <v>3</v>
      </c>
      <c r="B54" s="40">
        <v>2008</v>
      </c>
      <c r="C54" s="14">
        <v>11</v>
      </c>
      <c r="D54" s="19">
        <v>5</v>
      </c>
      <c r="E54" s="74" t="s">
        <v>96</v>
      </c>
      <c r="F54" s="19">
        <v>3.9</v>
      </c>
      <c r="G54" s="19">
        <v>2.2999999999999998</v>
      </c>
      <c r="H54" s="15">
        <v>1.6</v>
      </c>
      <c r="I54" s="14">
        <f>IF(Data!I54&lt;=QUARTILE(Data!I$4:I$195,1),1,IF(Data!I54&lt;=MEDIAN(Data!I$4:I$195),2,IF(Data!I54&lt;=QUARTILE(Data!I$4:I$195,3),3,4)))</f>
        <v>4</v>
      </c>
      <c r="J54" s="19">
        <f>IF(Data!J54&lt;=QUARTILE(Data!J$4:J$195,1),1,IF(Data!J54&lt;=MEDIAN(Data!J$4:J$195),2,IF(Data!J54&lt;=QUARTILE(Data!J$4:J$195,3),3,4)))</f>
        <v>4</v>
      </c>
      <c r="K54" s="19">
        <f>IF(Data!K54&lt;=QUARTILE(Data!K$4:K$195,1),1,IF(Data!K54&lt;=MEDIAN(Data!K$4:K$195),2,IF(Data!K54&lt;=QUARTILE(Data!K$4:K$195,3),3,4)))</f>
        <v>4</v>
      </c>
      <c r="L54" s="15">
        <f>IF(Data!L54&lt;=QUARTILE(Data!L$4:L$195,1),1,IF(Data!L54&lt;=MEDIAN(Data!L$4:L$195),2,IF(Data!L54&lt;=QUARTILE(Data!L$4:L$195,3),3,4)))</f>
        <v>4</v>
      </c>
      <c r="M54" s="14">
        <f>IF(Data!M54&lt;=QUARTILE(Data!M$4:M$195,1),1,IF(Data!M54&lt;=MEDIAN(Data!M$4:M$195),2,IF(Data!M54&lt;=QUARTILE(Data!M$4:M$195,3),3,4)))</f>
        <v>3</v>
      </c>
      <c r="N54" s="19">
        <f>IF(Data!N54&lt;=QUARTILE(Data!N$4:N$195,1),1,IF(Data!N54&lt;=MEDIAN(Data!N$4:N$195),2,IF(Data!N54&lt;=QUARTILE(Data!N$4:N$195,3),3,4)))</f>
        <v>3</v>
      </c>
      <c r="O54" s="19">
        <f>IF(Data!O54&lt;=QUARTILE(Data!O$4:O$195,1),1,IF(Data!O54&lt;=MEDIAN(Data!O$4:O$195),2,IF(Data!O54&lt;=QUARTILE(Data!O$4:O$195,3),3,4)))</f>
        <v>3</v>
      </c>
      <c r="P54" s="19">
        <f>IF(Data!P54&lt;=QUARTILE(Data!P$4:P$195,1),1,IF(Data!P54&lt;=MEDIAN(Data!P$4:P$195),2,IF(Data!P54&lt;=QUARTILE(Data!P$4:P$195,3),3,4)))</f>
        <v>2</v>
      </c>
      <c r="Q54" s="19">
        <f>IF(Data!Q54&lt;=QUARTILE(Data!Q$4:Q$195,1),1,IF(Data!Q54&lt;=MEDIAN(Data!Q$4:Q$195),2,IF(Data!Q54&lt;=QUARTILE(Data!Q$4:Q$195,3),3,4)))</f>
        <v>3</v>
      </c>
      <c r="R54" s="19">
        <f>IF(Data!R54&lt;=QUARTILE(Data!R$4:R$195,1),1,IF(Data!R54&lt;=MEDIAN(Data!R$4:R$195),2,IF(Data!R54&lt;=QUARTILE(Data!R$4:R$195,3),3,4)))</f>
        <v>3</v>
      </c>
      <c r="S54" s="19">
        <f>IF(Data!S54&lt;=QUARTILE(Data!S$4:S$195,1),1,IF(Data!S54&lt;=MEDIAN(Data!S$4:S$195),2,IF(Data!S54&lt;=QUARTILE(Data!S$4:S$195,3),3,4)))</f>
        <v>4</v>
      </c>
      <c r="T54" s="15">
        <f>IF(Data!T54&lt;=QUARTILE(Data!T$4:T$195,1),1,IF(Data!T54&lt;=MEDIAN(Data!T$4:T$195),2,IF(Data!T54&lt;=QUARTILE(Data!T$4:T$195,3),3,4)))</f>
        <v>2</v>
      </c>
      <c r="U54" s="14">
        <f>IF(Data!U54&lt;=QUARTILE(Data!U$4:U$195,1),1,IF(Data!U54&lt;=MEDIAN(Data!U$4:U$195),2,IF(Data!U54&lt;=QUARTILE(Data!U$4:U$195,3),3,4)))</f>
        <v>4</v>
      </c>
      <c r="V54" s="19">
        <f>IF(Data!V54&lt;=QUARTILE(Data!V$4:V$195,1),1,IF(Data!V54&lt;=MEDIAN(Data!V$4:V$195),2,IF(Data!V54&lt;=QUARTILE(Data!V$4:V$195,3),3,4)))</f>
        <v>4</v>
      </c>
      <c r="W54" s="19">
        <f>IF(Data!W54&lt;=QUARTILE(Data!W$4:W$195,1),1,IF(Data!W54&lt;=MEDIAN(Data!W$4:W$195),2,IF(Data!W54&lt;=QUARTILE(Data!W$4:W$195,3),3,4)))</f>
        <v>4</v>
      </c>
      <c r="X54" s="15">
        <f>IF(Data!X54&lt;=QUARTILE(Data!X$4:X$195,1),1,IF(Data!X54&lt;=MEDIAN(Data!X$4:X$195),2,IF(Data!X54&lt;=QUARTILE(Data!X$4:X$195,3),3,4)))</f>
        <v>4</v>
      </c>
      <c r="Y54" s="14">
        <f>IF(Data!Y54&lt;=QUARTILE(Data!Y$4:Y$195,1),1,IF(Data!Y54&lt;=MEDIAN(Data!Y$4:Y$195),2,IF(Data!Y54&lt;=QUARTILE(Data!Y$4:Y$195,3),3,4)))</f>
        <v>1</v>
      </c>
      <c r="Z54" s="15">
        <f>IF(Data!Z54&lt;=QUARTILE(Data!Z$4:Z$195,1),1,IF(Data!Z54&lt;=MEDIAN(Data!Z$4:Z$195),2,IF(Data!Z54&lt;=QUARTILE(Data!Z$4:Z$195,3),3,4)))</f>
        <v>4</v>
      </c>
      <c r="AA54" s="14">
        <f>IF(Data!AA54&lt;=QUARTILE(Data!AA$4:AA$195,1),1,IF(Data!AA54&lt;=MEDIAN(Data!AA$4:AA$195),2,IF(Data!AA54&lt;=QUARTILE(Data!AA$4:AA$195,3),3,4)))</f>
        <v>2</v>
      </c>
      <c r="AB54" s="15">
        <f>IF(Data!AB54&lt;=QUARTILE(Data!AB$4:AB$195,1),1,IF(Data!AB54&lt;=MEDIAN(Data!AB$4:AB$195),2,IF(Data!AB54&lt;=QUARTILE(Data!AB$4:AB$195,3),3,4)))</f>
        <v>3</v>
      </c>
      <c r="AC54" s="14">
        <f>IF(Data!AC54&lt;=QUARTILE(Data!AC$4:AC$195,1),1,IF(Data!AC54&lt;=MEDIAN(Data!AC$4:AC$195),2,IF(Data!AC54&lt;=QUARTILE(Data!AC$4:AC$195,3),3,4)))</f>
        <v>2</v>
      </c>
      <c r="AD54" s="15">
        <f>IF(Data!AD54&lt;=QUARTILE(Data!AD$4:AD$195,1),1,IF(Data!AD54&lt;=MEDIAN(Data!AD$4:AD$195),2,IF(Data!AD54&lt;=QUARTILE(Data!AD$4:AD$195,3),3,4)))</f>
        <v>3</v>
      </c>
      <c r="AE54" s="4">
        <f>IF(Data!AE54&lt;=QUARTILE(Data!AE$4:AE$195,1),1,IF(Data!AE54&lt;=MEDIAN(Data!AE$4:AE$195),2,IF(Data!AE54&lt;=QUARTILE(Data!AE$4:AE$195,3),3,4)))</f>
        <v>4</v>
      </c>
      <c r="AF54" s="3">
        <f>IF(Data!AF54&lt;=QUARTILE(Data!AF$4:AF$195,1),1,IF(Data!AF54&lt;=MEDIAN(Data!AF$4:AF$195),2,IF(Data!AF54&lt;=QUARTILE(Data!AF$4:AF$195,3),3,4)))</f>
        <v>4</v>
      </c>
      <c r="AG54" s="3">
        <f>IF(Data!AG54&lt;=QUARTILE(Data!AG$4:AG$195,1),1,IF(Data!AG54&lt;=MEDIAN(Data!AG$4:AG$195),2,IF(Data!AG54&lt;=QUARTILE(Data!AG$4:AG$195,3),3,4)))</f>
        <v>3</v>
      </c>
      <c r="AH54" s="3">
        <f>IF(Data!AH54&lt;=QUARTILE(Data!AH$4:AH$195,1),1,IF(Data!AH54&lt;=MEDIAN(Data!AH$4:AH$195),2,IF(Data!AH54&lt;=QUARTILE(Data!AH$4:AH$195,3),3,4)))</f>
        <v>3</v>
      </c>
      <c r="AI54" s="14">
        <f>IF(Data!AI54&lt;=QUARTILE(Data!AI$4:AI$195,1),1,IF(Data!AI54&lt;=MEDIAN(Data!AI$4:AI$195),2,IF(Data!AI54&lt;=QUARTILE(Data!AI$4:AI$195,3),3,4)))</f>
        <v>1</v>
      </c>
      <c r="AJ54" s="15">
        <f>IF(Data!AJ54&lt;=QUARTILE(Data!AJ$4:AJ$195,1),1,IF(Data!AJ54&lt;=MEDIAN(Data!AJ$4:AJ$195),2,IF(Data!AJ54&lt;=QUARTILE(Data!AJ$4:AJ$195,3),3,4)))</f>
        <v>1</v>
      </c>
      <c r="AK54" s="14">
        <f>IF(Data!AK54&lt;=QUARTILE(Data!AK$4:AK$195,1),1,IF(Data!AK54&lt;=MEDIAN(Data!AK$4:AK$195),2,IF(Data!AK54&lt;=QUARTILE(Data!AK$4:AK$195,3),3,4)))</f>
        <v>2</v>
      </c>
      <c r="AL54" s="19">
        <f>IF(Data!AL54&lt;=QUARTILE(Data!AL$4:AL$195,1),1,IF(Data!AL54&lt;=MEDIAN(Data!AL$4:AL$195),2,IF(Data!AL54&lt;=QUARTILE(Data!AL$4:AL$195,3),3,4)))</f>
        <v>2</v>
      </c>
      <c r="AM54" s="19">
        <f>IF(Data!AM54&lt;=QUARTILE(Data!AM$4:AM$195,1),1,IF(Data!AM54&lt;=MEDIAN(Data!AM$4:AM$195),2,IF(Data!AM54&lt;=QUARTILE(Data!AM$4:AM$195,3),3,4)))</f>
        <v>1</v>
      </c>
      <c r="AN54" s="15">
        <f>IF(Data!AN54&lt;=QUARTILE(Data!AN$4:AN$195,1),1,IF(Data!AN54&lt;=MEDIAN(Data!AN$4:AN$195),2,IF(Data!AN54&lt;=QUARTILE(Data!AN$4:AN$195,3),3,4)))</f>
        <v>1</v>
      </c>
      <c r="AO54" s="14">
        <f>IF(Data!AO54&lt;=QUARTILE(Data!AO$4:AO$195,1),1,IF(Data!AO54&lt;=MEDIAN(Data!AO$4:AO$195),2,IF(Data!AO54&lt;=QUARTILE(Data!AO$4:AO$195,3),3,4)))</f>
        <v>1</v>
      </c>
      <c r="AP54" s="19">
        <f>IF(Data!AP54&lt;=QUARTILE(Data!AP$4:AP$195,1),1,IF(Data!AP54&lt;=MEDIAN(Data!AP$4:AP$195),2,IF(Data!AP54&lt;=QUARTILE(Data!AP$4:AP$195,3),3,4)))</f>
        <v>1</v>
      </c>
      <c r="AQ54" s="19">
        <f>IF(Data!AQ54&lt;=QUARTILE(Data!AQ$4:AQ$195,1),1,IF(Data!AQ54&lt;=MEDIAN(Data!AQ$4:AQ$195),2,IF(Data!AQ54&lt;=QUARTILE(Data!AQ$4:AQ$195,3),3,4)))</f>
        <v>2</v>
      </c>
      <c r="AR54" s="19">
        <f>IF(Data!AR54&lt;=QUARTILE(Data!AR$4:AR$195,1),1,IF(Data!AR54&lt;=MEDIAN(Data!AR$4:AR$195),2,IF(Data!AR54&lt;=QUARTILE(Data!AR$4:AR$195,3),3,4)))</f>
        <v>4</v>
      </c>
      <c r="AS54" s="19">
        <f>IF(Data!AS54&lt;=QUARTILE(Data!AS$4:AS$195,1),1,IF(Data!AS54&lt;=MEDIAN(Data!AS$4:AS$195),2,IF(Data!AS54&lt;=QUARTILE(Data!AS$4:AS$195,3),3,4)))</f>
        <v>3</v>
      </c>
      <c r="AT54" s="19">
        <f>IF(Data!AT54&lt;=QUARTILE(Data!AT$4:AT$195,1),1,IF(Data!AT54&lt;=MEDIAN(Data!AT$4:AT$195),2,IF(Data!AT54&lt;=QUARTILE(Data!AT$4:AT$195,3),3,4)))</f>
        <v>2</v>
      </c>
      <c r="AU54" s="15">
        <f>IF(Data!AU54&lt;=QUARTILE(Data!AU$4:AU$195,1),1,IF(Data!AU54&lt;=MEDIAN(Data!AU$4:AU$195),2,IF(Data!AU54&lt;=QUARTILE(Data!AU$4:AU$195,3),3,4)))</f>
        <v>3</v>
      </c>
      <c r="AV54" s="14">
        <f>IF(Data!AV54&lt;=QUARTILE(Data!AV$4:AV$195,1),1,IF(Data!AV54&lt;=MEDIAN(Data!AV$4:AV$195),2,IF(Data!AV54&lt;=QUARTILE(Data!AV$4:AV$195,3),3,4)))</f>
        <v>2</v>
      </c>
      <c r="AW54" s="19">
        <f>IF(Data!AW54&lt;=QUARTILE(Data!AW$4:AW$195,1),1,IF(Data!AW54&lt;=MEDIAN(Data!AW$4:AW$195),2,IF(Data!AW54&lt;=QUARTILE(Data!AW$4:AW$195,3),3,4)))</f>
        <v>2</v>
      </c>
      <c r="AX54" s="19">
        <f>IF(Data!AX54&lt;=QUARTILE(Data!AX$4:AX$195,1),1,IF(Data!AX54&lt;=MEDIAN(Data!AX$4:AX$195),2,IF(Data!AX54&lt;=QUARTILE(Data!AX$4:AX$195,3),3,4)))</f>
        <v>1</v>
      </c>
      <c r="AY54" s="15">
        <f>IF(Data!AY54&lt;=QUARTILE(Data!AY$4:AY$195,1),1,IF(Data!AY54&lt;=MEDIAN(Data!AY$4:AY$195),2,IF(Data!AY54&lt;=QUARTILE(Data!AY$4:AY$195,3),3,4)))</f>
        <v>1</v>
      </c>
      <c r="AZ54" s="14">
        <f>IF(Data!AZ54&lt;=QUARTILE(Data!AZ$4:AZ$195,1),1,IF(Data!AZ54&lt;=MEDIAN(Data!AZ$4:AZ$195),2,IF(Data!AZ54&lt;=QUARTILE(Data!AZ$4:AZ$195,3),3,4)))</f>
        <v>2</v>
      </c>
      <c r="BA54" s="15">
        <f>IF(Data!BA54&lt;=QUARTILE(Data!BA$4:BA$195,1),1,IF(Data!BA54&lt;=MEDIAN(Data!BA$4:BA$195),2,IF(Data!BA54&lt;=QUARTILE(Data!BA$4:BA$195,3),3,4)))</f>
        <v>1</v>
      </c>
    </row>
    <row r="55" spans="1:53" x14ac:dyDescent="0.25">
      <c r="A55" s="4" t="s">
        <v>27</v>
      </c>
      <c r="B55" s="40">
        <v>2008</v>
      </c>
      <c r="C55" s="14">
        <v>8</v>
      </c>
      <c r="D55" s="19">
        <v>8</v>
      </c>
      <c r="E55" s="74" t="s">
        <v>96</v>
      </c>
      <c r="F55" s="19">
        <v>4</v>
      </c>
      <c r="G55" s="19">
        <v>6.8</v>
      </c>
      <c r="H55" s="15">
        <v>-2.8</v>
      </c>
      <c r="I55" s="14">
        <f>IF(Data!I55&lt;=QUARTILE(Data!I$4:I$195,1),1,IF(Data!I55&lt;=MEDIAN(Data!I$4:I$195),2,IF(Data!I55&lt;=QUARTILE(Data!I$4:I$195,3),3,4)))</f>
        <v>4</v>
      </c>
      <c r="J55" s="19">
        <f>IF(Data!J55&lt;=QUARTILE(Data!J$4:J$195,1),1,IF(Data!J55&lt;=MEDIAN(Data!J$4:J$195),2,IF(Data!J55&lt;=QUARTILE(Data!J$4:J$195,3),3,4)))</f>
        <v>4</v>
      </c>
      <c r="K55" s="19">
        <f>IF(Data!K55&lt;=QUARTILE(Data!K$4:K$195,1),1,IF(Data!K55&lt;=MEDIAN(Data!K$4:K$195),2,IF(Data!K55&lt;=QUARTILE(Data!K$4:K$195,3),3,4)))</f>
        <v>4</v>
      </c>
      <c r="L55" s="15">
        <f>IF(Data!L55&lt;=QUARTILE(Data!L$4:L$195,1),1,IF(Data!L55&lt;=MEDIAN(Data!L$4:L$195),2,IF(Data!L55&lt;=QUARTILE(Data!L$4:L$195,3),3,4)))</f>
        <v>4</v>
      </c>
      <c r="M55" s="14">
        <f>IF(Data!M55&lt;=QUARTILE(Data!M$4:M$195,1),1,IF(Data!M55&lt;=MEDIAN(Data!M$4:M$195),2,IF(Data!M55&lt;=QUARTILE(Data!M$4:M$195,3),3,4)))</f>
        <v>4</v>
      </c>
      <c r="N55" s="19">
        <f>IF(Data!N55&lt;=QUARTILE(Data!N$4:N$195,1),1,IF(Data!N55&lt;=MEDIAN(Data!N$4:N$195),2,IF(Data!N55&lt;=QUARTILE(Data!N$4:N$195,3),3,4)))</f>
        <v>4</v>
      </c>
      <c r="O55" s="19">
        <f>IF(Data!O55&lt;=QUARTILE(Data!O$4:O$195,1),1,IF(Data!O55&lt;=MEDIAN(Data!O$4:O$195),2,IF(Data!O55&lt;=QUARTILE(Data!O$4:O$195,3),3,4)))</f>
        <v>4</v>
      </c>
      <c r="P55" s="19">
        <f>IF(Data!P55&lt;=QUARTILE(Data!P$4:P$195,1),1,IF(Data!P55&lt;=MEDIAN(Data!P$4:P$195),2,IF(Data!P55&lt;=QUARTILE(Data!P$4:P$195,3),3,4)))</f>
        <v>4</v>
      </c>
      <c r="Q55" s="19">
        <f>IF(Data!Q55&lt;=QUARTILE(Data!Q$4:Q$195,1),1,IF(Data!Q55&lt;=MEDIAN(Data!Q$4:Q$195),2,IF(Data!Q55&lt;=QUARTILE(Data!Q$4:Q$195,3),3,4)))</f>
        <v>4</v>
      </c>
      <c r="R55" s="19">
        <f>IF(Data!R55&lt;=QUARTILE(Data!R$4:R$195,1),1,IF(Data!R55&lt;=MEDIAN(Data!R$4:R$195),2,IF(Data!R55&lt;=QUARTILE(Data!R$4:R$195,3),3,4)))</f>
        <v>4</v>
      </c>
      <c r="S55" s="19">
        <f>IF(Data!S55&lt;=QUARTILE(Data!S$4:S$195,1),1,IF(Data!S55&lt;=MEDIAN(Data!S$4:S$195),2,IF(Data!S55&lt;=QUARTILE(Data!S$4:S$195,3),3,4)))</f>
        <v>1</v>
      </c>
      <c r="T55" s="15">
        <f>IF(Data!T55&lt;=QUARTILE(Data!T$4:T$195,1),1,IF(Data!T55&lt;=MEDIAN(Data!T$4:T$195),2,IF(Data!T55&lt;=QUARTILE(Data!T$4:T$195,3),3,4)))</f>
        <v>1</v>
      </c>
      <c r="U55" s="14">
        <f>IF(Data!U55&lt;=QUARTILE(Data!U$4:U$195,1),1,IF(Data!U55&lt;=MEDIAN(Data!U$4:U$195),2,IF(Data!U55&lt;=QUARTILE(Data!U$4:U$195,3),3,4)))</f>
        <v>1</v>
      </c>
      <c r="V55" s="19">
        <f>IF(Data!V55&lt;=QUARTILE(Data!V$4:V$195,1),1,IF(Data!V55&lt;=MEDIAN(Data!V$4:V$195),2,IF(Data!V55&lt;=QUARTILE(Data!V$4:V$195,3),3,4)))</f>
        <v>1</v>
      </c>
      <c r="W55" s="19">
        <f>IF(Data!W55&lt;=QUARTILE(Data!W$4:W$195,1),1,IF(Data!W55&lt;=MEDIAN(Data!W$4:W$195),2,IF(Data!W55&lt;=QUARTILE(Data!W$4:W$195,3),3,4)))</f>
        <v>4</v>
      </c>
      <c r="X55" s="15">
        <f>IF(Data!X55&lt;=QUARTILE(Data!X$4:X$195,1),1,IF(Data!X55&lt;=MEDIAN(Data!X$4:X$195),2,IF(Data!X55&lt;=QUARTILE(Data!X$4:X$195,3),3,4)))</f>
        <v>3</v>
      </c>
      <c r="Y55" s="14">
        <f>IF(Data!Y55&lt;=QUARTILE(Data!Y$4:Y$195,1),1,IF(Data!Y55&lt;=MEDIAN(Data!Y$4:Y$195),2,IF(Data!Y55&lt;=QUARTILE(Data!Y$4:Y$195,3),3,4)))</f>
        <v>3</v>
      </c>
      <c r="Z55" s="15">
        <f>IF(Data!Z55&lt;=QUARTILE(Data!Z$4:Z$195,1),1,IF(Data!Z55&lt;=MEDIAN(Data!Z$4:Z$195),2,IF(Data!Z55&lt;=QUARTILE(Data!Z$4:Z$195,3),3,4)))</f>
        <v>4</v>
      </c>
      <c r="AA55" s="14">
        <f>IF(Data!AA55&lt;=QUARTILE(Data!AA$4:AA$195,1),1,IF(Data!AA55&lt;=MEDIAN(Data!AA$4:AA$195),2,IF(Data!AA55&lt;=QUARTILE(Data!AA$4:AA$195,3),3,4)))</f>
        <v>1</v>
      </c>
      <c r="AB55" s="15">
        <f>IF(Data!AB55&lt;=QUARTILE(Data!AB$4:AB$195,1),1,IF(Data!AB55&lt;=MEDIAN(Data!AB$4:AB$195),2,IF(Data!AB55&lt;=QUARTILE(Data!AB$4:AB$195,3),3,4)))</f>
        <v>3</v>
      </c>
      <c r="AC55" s="14">
        <f>IF(Data!AC55&lt;=QUARTILE(Data!AC$4:AC$195,1),1,IF(Data!AC55&lt;=MEDIAN(Data!AC$4:AC$195),2,IF(Data!AC55&lt;=QUARTILE(Data!AC$4:AC$195,3),3,4)))</f>
        <v>2</v>
      </c>
      <c r="AD55" s="15">
        <f>IF(Data!AD55&lt;=QUARTILE(Data!AD$4:AD$195,1),1,IF(Data!AD55&lt;=MEDIAN(Data!AD$4:AD$195),2,IF(Data!AD55&lt;=QUARTILE(Data!AD$4:AD$195,3),3,4)))</f>
        <v>3</v>
      </c>
      <c r="AE55" s="4">
        <f>IF(Data!AE55&lt;=QUARTILE(Data!AE$4:AE$195,1),1,IF(Data!AE55&lt;=MEDIAN(Data!AE$4:AE$195),2,IF(Data!AE55&lt;=QUARTILE(Data!AE$4:AE$195,3),3,4)))</f>
        <v>1</v>
      </c>
      <c r="AF55" s="3">
        <f>IF(Data!AF55&lt;=QUARTILE(Data!AF$4:AF$195,1),1,IF(Data!AF55&lt;=MEDIAN(Data!AF$4:AF$195),2,IF(Data!AF55&lt;=QUARTILE(Data!AF$4:AF$195,3),3,4)))</f>
        <v>2</v>
      </c>
      <c r="AG55" s="3">
        <f>IF(Data!AG55&lt;=QUARTILE(Data!AG$4:AG$195,1),1,IF(Data!AG55&lt;=MEDIAN(Data!AG$4:AG$195),2,IF(Data!AG55&lt;=QUARTILE(Data!AG$4:AG$195,3),3,4)))</f>
        <v>3</v>
      </c>
      <c r="AH55" s="3">
        <f>IF(Data!AH55&lt;=QUARTILE(Data!AH$4:AH$195,1),1,IF(Data!AH55&lt;=MEDIAN(Data!AH$4:AH$195),2,IF(Data!AH55&lt;=QUARTILE(Data!AH$4:AH$195,3),3,4)))</f>
        <v>2</v>
      </c>
      <c r="AI55" s="14">
        <f>IF(Data!AI55&lt;=QUARTILE(Data!AI$4:AI$195,1),1,IF(Data!AI55&lt;=MEDIAN(Data!AI$4:AI$195),2,IF(Data!AI55&lt;=QUARTILE(Data!AI$4:AI$195,3),3,4)))</f>
        <v>1</v>
      </c>
      <c r="AJ55" s="15">
        <f>IF(Data!AJ55&lt;=QUARTILE(Data!AJ$4:AJ$195,1),1,IF(Data!AJ55&lt;=MEDIAN(Data!AJ$4:AJ$195),2,IF(Data!AJ55&lt;=QUARTILE(Data!AJ$4:AJ$195,3),3,4)))</f>
        <v>1</v>
      </c>
      <c r="AK55" s="14">
        <f>IF(Data!AK55&lt;=QUARTILE(Data!AK$4:AK$195,1),1,IF(Data!AK55&lt;=MEDIAN(Data!AK$4:AK$195),2,IF(Data!AK55&lt;=QUARTILE(Data!AK$4:AK$195,3),3,4)))</f>
        <v>4</v>
      </c>
      <c r="AL55" s="19">
        <f>IF(Data!AL55&lt;=QUARTILE(Data!AL$4:AL$195,1),1,IF(Data!AL55&lt;=MEDIAN(Data!AL$4:AL$195),2,IF(Data!AL55&lt;=QUARTILE(Data!AL$4:AL$195,3),3,4)))</f>
        <v>3</v>
      </c>
      <c r="AM55" s="19">
        <f>IF(Data!AM55&lt;=QUARTILE(Data!AM$4:AM$195,1),1,IF(Data!AM55&lt;=MEDIAN(Data!AM$4:AM$195),2,IF(Data!AM55&lt;=QUARTILE(Data!AM$4:AM$195,3),3,4)))</f>
        <v>3</v>
      </c>
      <c r="AN55" s="15">
        <f>IF(Data!AN55&lt;=QUARTILE(Data!AN$4:AN$195,1),1,IF(Data!AN55&lt;=MEDIAN(Data!AN$4:AN$195),2,IF(Data!AN55&lt;=QUARTILE(Data!AN$4:AN$195,3),3,4)))</f>
        <v>3</v>
      </c>
      <c r="AO55" s="14">
        <f>IF(Data!AO55&lt;=QUARTILE(Data!AO$4:AO$195,1),1,IF(Data!AO55&lt;=MEDIAN(Data!AO$4:AO$195),2,IF(Data!AO55&lt;=QUARTILE(Data!AO$4:AO$195,3),3,4)))</f>
        <v>2</v>
      </c>
      <c r="AP55" s="19">
        <f>IF(Data!AP55&lt;=QUARTILE(Data!AP$4:AP$195,1),1,IF(Data!AP55&lt;=MEDIAN(Data!AP$4:AP$195),2,IF(Data!AP55&lt;=QUARTILE(Data!AP$4:AP$195,3),3,4)))</f>
        <v>3</v>
      </c>
      <c r="AQ55" s="19">
        <f>IF(Data!AQ55&lt;=QUARTILE(Data!AQ$4:AQ$195,1),1,IF(Data!AQ55&lt;=MEDIAN(Data!AQ$4:AQ$195),2,IF(Data!AQ55&lt;=QUARTILE(Data!AQ$4:AQ$195,3),3,4)))</f>
        <v>3</v>
      </c>
      <c r="AR55" s="19">
        <f>IF(Data!AR55&lt;=QUARTILE(Data!AR$4:AR$195,1),1,IF(Data!AR55&lt;=MEDIAN(Data!AR$4:AR$195),2,IF(Data!AR55&lt;=QUARTILE(Data!AR$4:AR$195,3),3,4)))</f>
        <v>2</v>
      </c>
      <c r="AS55" s="19">
        <f>IF(Data!AS55&lt;=QUARTILE(Data!AS$4:AS$195,1),1,IF(Data!AS55&lt;=MEDIAN(Data!AS$4:AS$195),2,IF(Data!AS55&lt;=QUARTILE(Data!AS$4:AS$195,3),3,4)))</f>
        <v>3</v>
      </c>
      <c r="AT55" s="19">
        <f>IF(Data!AT55&lt;=QUARTILE(Data!AT$4:AT$195,1),1,IF(Data!AT55&lt;=MEDIAN(Data!AT$4:AT$195),2,IF(Data!AT55&lt;=QUARTILE(Data!AT$4:AT$195,3),3,4)))</f>
        <v>1</v>
      </c>
      <c r="AU55" s="15">
        <f>IF(Data!AU55&lt;=QUARTILE(Data!AU$4:AU$195,1),1,IF(Data!AU55&lt;=MEDIAN(Data!AU$4:AU$195),2,IF(Data!AU55&lt;=QUARTILE(Data!AU$4:AU$195,3),3,4)))</f>
        <v>1</v>
      </c>
      <c r="AV55" s="14">
        <f>IF(Data!AV55&lt;=QUARTILE(Data!AV$4:AV$195,1),1,IF(Data!AV55&lt;=MEDIAN(Data!AV$4:AV$195),2,IF(Data!AV55&lt;=QUARTILE(Data!AV$4:AV$195,3),3,4)))</f>
        <v>3</v>
      </c>
      <c r="AW55" s="19">
        <f>IF(Data!AW55&lt;=QUARTILE(Data!AW$4:AW$195,1),1,IF(Data!AW55&lt;=MEDIAN(Data!AW$4:AW$195),2,IF(Data!AW55&lt;=QUARTILE(Data!AW$4:AW$195,3),3,4)))</f>
        <v>3</v>
      </c>
      <c r="AX55" s="19">
        <f>IF(Data!AX55&lt;=QUARTILE(Data!AX$4:AX$195,1),1,IF(Data!AX55&lt;=MEDIAN(Data!AX$4:AX$195),2,IF(Data!AX55&lt;=QUARTILE(Data!AX$4:AX$195,3),3,4)))</f>
        <v>3</v>
      </c>
      <c r="AY55" s="15">
        <f>IF(Data!AY55&lt;=QUARTILE(Data!AY$4:AY$195,1),1,IF(Data!AY55&lt;=MEDIAN(Data!AY$4:AY$195),2,IF(Data!AY55&lt;=QUARTILE(Data!AY$4:AY$195,3),3,4)))</f>
        <v>3</v>
      </c>
      <c r="AZ55" s="14">
        <f>IF(Data!AZ55&lt;=QUARTILE(Data!AZ$4:AZ$195,1),1,IF(Data!AZ55&lt;=MEDIAN(Data!AZ$4:AZ$195),2,IF(Data!AZ55&lt;=QUARTILE(Data!AZ$4:AZ$195,3),3,4)))</f>
        <v>2</v>
      </c>
      <c r="BA55" s="15">
        <f>IF(Data!BA55&lt;=QUARTILE(Data!BA$4:BA$195,1),1,IF(Data!BA55&lt;=MEDIAN(Data!BA$4:BA$195),2,IF(Data!BA55&lt;=QUARTILE(Data!BA$4:BA$195,3),3,4)))</f>
        <v>1</v>
      </c>
    </row>
    <row r="56" spans="1:53" x14ac:dyDescent="0.25">
      <c r="A56" s="4" t="s">
        <v>21</v>
      </c>
      <c r="B56" s="40">
        <v>2008</v>
      </c>
      <c r="C56" s="14">
        <v>12</v>
      </c>
      <c r="D56" s="19">
        <v>4</v>
      </c>
      <c r="E56" s="74" t="s">
        <v>97</v>
      </c>
      <c r="F56" s="19">
        <v>8.4</v>
      </c>
      <c r="G56" s="19">
        <v>5.5</v>
      </c>
      <c r="H56" s="15">
        <v>2.8</v>
      </c>
      <c r="I56" s="14">
        <f>IF(Data!I56&lt;=QUARTILE(Data!I$4:I$195,1),1,IF(Data!I56&lt;=MEDIAN(Data!I$4:I$195),2,IF(Data!I56&lt;=QUARTILE(Data!I$4:I$195,3),3,4)))</f>
        <v>4</v>
      </c>
      <c r="J56" s="19">
        <f>IF(Data!J56&lt;=QUARTILE(Data!J$4:J$195,1),1,IF(Data!J56&lt;=MEDIAN(Data!J$4:J$195),2,IF(Data!J56&lt;=QUARTILE(Data!J$4:J$195,3),3,4)))</f>
        <v>4</v>
      </c>
      <c r="K56" s="19">
        <f>IF(Data!K56&lt;=QUARTILE(Data!K$4:K$195,1),1,IF(Data!K56&lt;=MEDIAN(Data!K$4:K$195),2,IF(Data!K56&lt;=QUARTILE(Data!K$4:K$195,3),3,4)))</f>
        <v>3</v>
      </c>
      <c r="L56" s="15">
        <f>IF(Data!L56&lt;=QUARTILE(Data!L$4:L$195,1),1,IF(Data!L56&lt;=MEDIAN(Data!L$4:L$195),2,IF(Data!L56&lt;=QUARTILE(Data!L$4:L$195,3),3,4)))</f>
        <v>4</v>
      </c>
      <c r="M56" s="14">
        <f>IF(Data!M56&lt;=QUARTILE(Data!M$4:M$195,1),1,IF(Data!M56&lt;=MEDIAN(Data!M$4:M$195),2,IF(Data!M56&lt;=QUARTILE(Data!M$4:M$195,3),3,4)))</f>
        <v>2</v>
      </c>
      <c r="N56" s="19">
        <f>IF(Data!N56&lt;=QUARTILE(Data!N$4:N$195,1),1,IF(Data!N56&lt;=MEDIAN(Data!N$4:N$195),2,IF(Data!N56&lt;=QUARTILE(Data!N$4:N$195,3),3,4)))</f>
        <v>2</v>
      </c>
      <c r="O56" s="19">
        <f>IF(Data!O56&lt;=QUARTILE(Data!O$4:O$195,1),1,IF(Data!O56&lt;=MEDIAN(Data!O$4:O$195),2,IF(Data!O56&lt;=QUARTILE(Data!O$4:O$195,3),3,4)))</f>
        <v>2</v>
      </c>
      <c r="P56" s="19">
        <f>IF(Data!P56&lt;=QUARTILE(Data!P$4:P$195,1),1,IF(Data!P56&lt;=MEDIAN(Data!P$4:P$195),2,IF(Data!P56&lt;=QUARTILE(Data!P$4:P$195,3),3,4)))</f>
        <v>3</v>
      </c>
      <c r="Q56" s="19">
        <f>IF(Data!Q56&lt;=QUARTILE(Data!Q$4:Q$195,1),1,IF(Data!Q56&lt;=MEDIAN(Data!Q$4:Q$195),2,IF(Data!Q56&lt;=QUARTILE(Data!Q$4:Q$195,3),3,4)))</f>
        <v>3</v>
      </c>
      <c r="R56" s="19">
        <f>IF(Data!R56&lt;=QUARTILE(Data!R$4:R$195,1),1,IF(Data!R56&lt;=MEDIAN(Data!R$4:R$195),2,IF(Data!R56&lt;=QUARTILE(Data!R$4:R$195,3),3,4)))</f>
        <v>3</v>
      </c>
      <c r="S56" s="19">
        <f>IF(Data!S56&lt;=QUARTILE(Data!S$4:S$195,1),1,IF(Data!S56&lt;=MEDIAN(Data!S$4:S$195),2,IF(Data!S56&lt;=QUARTILE(Data!S$4:S$195,3),3,4)))</f>
        <v>1</v>
      </c>
      <c r="T56" s="15">
        <f>IF(Data!T56&lt;=QUARTILE(Data!T$4:T$195,1),1,IF(Data!T56&lt;=MEDIAN(Data!T$4:T$195),2,IF(Data!T56&lt;=QUARTILE(Data!T$4:T$195,3),3,4)))</f>
        <v>2</v>
      </c>
      <c r="U56" s="14">
        <f>IF(Data!U56&lt;=QUARTILE(Data!U$4:U$195,1),1,IF(Data!U56&lt;=MEDIAN(Data!U$4:U$195),2,IF(Data!U56&lt;=QUARTILE(Data!U$4:U$195,3),3,4)))</f>
        <v>4</v>
      </c>
      <c r="V56" s="19">
        <f>IF(Data!V56&lt;=QUARTILE(Data!V$4:V$195,1),1,IF(Data!V56&lt;=MEDIAN(Data!V$4:V$195),2,IF(Data!V56&lt;=QUARTILE(Data!V$4:V$195,3),3,4)))</f>
        <v>4</v>
      </c>
      <c r="W56" s="19">
        <f>IF(Data!W56&lt;=QUARTILE(Data!W$4:W$195,1),1,IF(Data!W56&lt;=MEDIAN(Data!W$4:W$195),2,IF(Data!W56&lt;=QUARTILE(Data!W$4:W$195,3),3,4)))</f>
        <v>4</v>
      </c>
      <c r="X56" s="15">
        <f>IF(Data!X56&lt;=QUARTILE(Data!X$4:X$195,1),1,IF(Data!X56&lt;=MEDIAN(Data!X$4:X$195),2,IF(Data!X56&lt;=QUARTILE(Data!X$4:X$195,3),3,4)))</f>
        <v>4</v>
      </c>
      <c r="Y56" s="14">
        <f>IF(Data!Y56&lt;=QUARTILE(Data!Y$4:Y$195,1),1,IF(Data!Y56&lt;=MEDIAN(Data!Y$4:Y$195),2,IF(Data!Y56&lt;=QUARTILE(Data!Y$4:Y$195,3),3,4)))</f>
        <v>1</v>
      </c>
      <c r="Z56" s="15">
        <f>IF(Data!Z56&lt;=QUARTILE(Data!Z$4:Z$195,1),1,IF(Data!Z56&lt;=MEDIAN(Data!Z$4:Z$195),2,IF(Data!Z56&lt;=QUARTILE(Data!Z$4:Z$195,3),3,4)))</f>
        <v>4</v>
      </c>
      <c r="AA56" s="14">
        <f>IF(Data!AA56&lt;=QUARTILE(Data!AA$4:AA$195,1),1,IF(Data!AA56&lt;=MEDIAN(Data!AA$4:AA$195),2,IF(Data!AA56&lt;=QUARTILE(Data!AA$4:AA$195,3),3,4)))</f>
        <v>3</v>
      </c>
      <c r="AB56" s="15">
        <f>IF(Data!AB56&lt;=QUARTILE(Data!AB$4:AB$195,1),1,IF(Data!AB56&lt;=MEDIAN(Data!AB$4:AB$195),2,IF(Data!AB56&lt;=QUARTILE(Data!AB$4:AB$195,3),3,4)))</f>
        <v>3</v>
      </c>
      <c r="AC56" s="14">
        <f>IF(Data!AC56&lt;=QUARTILE(Data!AC$4:AC$195,1),1,IF(Data!AC56&lt;=MEDIAN(Data!AC$4:AC$195),2,IF(Data!AC56&lt;=QUARTILE(Data!AC$4:AC$195,3),3,4)))</f>
        <v>1</v>
      </c>
      <c r="AD56" s="15">
        <f>IF(Data!AD56&lt;=QUARTILE(Data!AD$4:AD$195,1),1,IF(Data!AD56&lt;=MEDIAN(Data!AD$4:AD$195),2,IF(Data!AD56&lt;=QUARTILE(Data!AD$4:AD$195,3),3,4)))</f>
        <v>1</v>
      </c>
      <c r="AE56" s="4">
        <f>IF(Data!AE56&lt;=QUARTILE(Data!AE$4:AE$195,1),1,IF(Data!AE56&lt;=MEDIAN(Data!AE$4:AE$195),2,IF(Data!AE56&lt;=QUARTILE(Data!AE$4:AE$195,3),3,4)))</f>
        <v>4</v>
      </c>
      <c r="AF56" s="3">
        <f>IF(Data!AF56&lt;=QUARTILE(Data!AF$4:AF$195,1),1,IF(Data!AF56&lt;=MEDIAN(Data!AF$4:AF$195),2,IF(Data!AF56&lt;=QUARTILE(Data!AF$4:AF$195,3),3,4)))</f>
        <v>4</v>
      </c>
      <c r="AG56" s="3">
        <f>IF(Data!AG56&lt;=QUARTILE(Data!AG$4:AG$195,1),1,IF(Data!AG56&lt;=MEDIAN(Data!AG$4:AG$195),2,IF(Data!AG56&lt;=QUARTILE(Data!AG$4:AG$195,3),3,4)))</f>
        <v>1</v>
      </c>
      <c r="AH56" s="3">
        <f>IF(Data!AH56&lt;=QUARTILE(Data!AH$4:AH$195,1),1,IF(Data!AH56&lt;=MEDIAN(Data!AH$4:AH$195),2,IF(Data!AH56&lt;=QUARTILE(Data!AH$4:AH$195,3),3,4)))</f>
        <v>1</v>
      </c>
      <c r="AI56" s="14">
        <f>IF(Data!AI56&lt;=QUARTILE(Data!AI$4:AI$195,1),1,IF(Data!AI56&lt;=MEDIAN(Data!AI$4:AI$195),2,IF(Data!AI56&lt;=QUARTILE(Data!AI$4:AI$195,3),3,4)))</f>
        <v>1</v>
      </c>
      <c r="AJ56" s="15">
        <f>IF(Data!AJ56&lt;=QUARTILE(Data!AJ$4:AJ$195,1),1,IF(Data!AJ56&lt;=MEDIAN(Data!AJ$4:AJ$195),2,IF(Data!AJ56&lt;=QUARTILE(Data!AJ$4:AJ$195,3),3,4)))</f>
        <v>2</v>
      </c>
      <c r="AK56" s="14">
        <f>IF(Data!AK56&lt;=QUARTILE(Data!AK$4:AK$195,1),1,IF(Data!AK56&lt;=MEDIAN(Data!AK$4:AK$195),2,IF(Data!AK56&lt;=QUARTILE(Data!AK$4:AK$195,3),3,4)))</f>
        <v>1</v>
      </c>
      <c r="AL56" s="19">
        <f>IF(Data!AL56&lt;=QUARTILE(Data!AL$4:AL$195,1),1,IF(Data!AL56&lt;=MEDIAN(Data!AL$4:AL$195),2,IF(Data!AL56&lt;=QUARTILE(Data!AL$4:AL$195,3),3,4)))</f>
        <v>1</v>
      </c>
      <c r="AM56" s="19">
        <f>IF(Data!AM56&lt;=QUARTILE(Data!AM$4:AM$195,1),1,IF(Data!AM56&lt;=MEDIAN(Data!AM$4:AM$195),2,IF(Data!AM56&lt;=QUARTILE(Data!AM$4:AM$195,3),3,4)))</f>
        <v>1</v>
      </c>
      <c r="AN56" s="15">
        <f>IF(Data!AN56&lt;=QUARTILE(Data!AN$4:AN$195,1),1,IF(Data!AN56&lt;=MEDIAN(Data!AN$4:AN$195),2,IF(Data!AN56&lt;=QUARTILE(Data!AN$4:AN$195,3),3,4)))</f>
        <v>1</v>
      </c>
      <c r="AO56" s="14">
        <f>IF(Data!AO56&lt;=QUARTILE(Data!AO$4:AO$195,1),1,IF(Data!AO56&lt;=MEDIAN(Data!AO$4:AO$195),2,IF(Data!AO56&lt;=QUARTILE(Data!AO$4:AO$195,3),3,4)))</f>
        <v>2</v>
      </c>
      <c r="AP56" s="19">
        <f>IF(Data!AP56&lt;=QUARTILE(Data!AP$4:AP$195,1),1,IF(Data!AP56&lt;=MEDIAN(Data!AP$4:AP$195),2,IF(Data!AP56&lt;=QUARTILE(Data!AP$4:AP$195,3),3,4)))</f>
        <v>2</v>
      </c>
      <c r="AQ56" s="19">
        <f>IF(Data!AQ56&lt;=QUARTILE(Data!AQ$4:AQ$195,1),1,IF(Data!AQ56&lt;=MEDIAN(Data!AQ$4:AQ$195),2,IF(Data!AQ56&lt;=QUARTILE(Data!AQ$4:AQ$195,3),3,4)))</f>
        <v>2</v>
      </c>
      <c r="AR56" s="19">
        <f>IF(Data!AR56&lt;=QUARTILE(Data!AR$4:AR$195,1),1,IF(Data!AR56&lt;=MEDIAN(Data!AR$4:AR$195),2,IF(Data!AR56&lt;=QUARTILE(Data!AR$4:AR$195,3),3,4)))</f>
        <v>1</v>
      </c>
      <c r="AS56" s="19">
        <f>IF(Data!AS56&lt;=QUARTILE(Data!AS$4:AS$195,1),1,IF(Data!AS56&lt;=MEDIAN(Data!AS$4:AS$195),2,IF(Data!AS56&lt;=QUARTILE(Data!AS$4:AS$195,3),3,4)))</f>
        <v>2</v>
      </c>
      <c r="AT56" s="19">
        <f>IF(Data!AT56&lt;=QUARTILE(Data!AT$4:AT$195,1),1,IF(Data!AT56&lt;=MEDIAN(Data!AT$4:AT$195),2,IF(Data!AT56&lt;=QUARTILE(Data!AT$4:AT$195,3),3,4)))</f>
        <v>4</v>
      </c>
      <c r="AU56" s="15">
        <f>IF(Data!AU56&lt;=QUARTILE(Data!AU$4:AU$195,1),1,IF(Data!AU56&lt;=MEDIAN(Data!AU$4:AU$195),2,IF(Data!AU56&lt;=QUARTILE(Data!AU$4:AU$195,3),3,4)))</f>
        <v>4</v>
      </c>
      <c r="AV56" s="14">
        <f>IF(Data!AV56&lt;=QUARTILE(Data!AV$4:AV$195,1),1,IF(Data!AV56&lt;=MEDIAN(Data!AV$4:AV$195),2,IF(Data!AV56&lt;=QUARTILE(Data!AV$4:AV$195,3),3,4)))</f>
        <v>1</v>
      </c>
      <c r="AW56" s="19">
        <f>IF(Data!AW56&lt;=QUARTILE(Data!AW$4:AW$195,1),1,IF(Data!AW56&lt;=MEDIAN(Data!AW$4:AW$195),2,IF(Data!AW56&lt;=QUARTILE(Data!AW$4:AW$195,3),3,4)))</f>
        <v>1</v>
      </c>
      <c r="AX56" s="19">
        <f>IF(Data!AX56&lt;=QUARTILE(Data!AX$4:AX$195,1),1,IF(Data!AX56&lt;=MEDIAN(Data!AX$4:AX$195),2,IF(Data!AX56&lt;=QUARTILE(Data!AX$4:AX$195,3),3,4)))</f>
        <v>3</v>
      </c>
      <c r="AY56" s="15">
        <f>IF(Data!AY56&lt;=QUARTILE(Data!AY$4:AY$195,1),1,IF(Data!AY56&lt;=MEDIAN(Data!AY$4:AY$195),2,IF(Data!AY56&lt;=QUARTILE(Data!AY$4:AY$195,3),3,4)))</f>
        <v>1</v>
      </c>
      <c r="AZ56" s="14">
        <f>IF(Data!AZ56&lt;=QUARTILE(Data!AZ$4:AZ$195,1),1,IF(Data!AZ56&lt;=MEDIAN(Data!AZ$4:AZ$195),2,IF(Data!AZ56&lt;=QUARTILE(Data!AZ$4:AZ$195,3),3,4)))</f>
        <v>3</v>
      </c>
      <c r="BA56" s="15">
        <f>IF(Data!BA56&lt;=QUARTILE(Data!BA$4:BA$195,1),1,IF(Data!BA56&lt;=MEDIAN(Data!BA$4:BA$195),2,IF(Data!BA56&lt;=QUARTILE(Data!BA$4:BA$195,3),3,4)))</f>
        <v>1</v>
      </c>
    </row>
    <row r="57" spans="1:53" x14ac:dyDescent="0.25">
      <c r="A57" s="4" t="s">
        <v>4</v>
      </c>
      <c r="B57" s="40">
        <v>2008</v>
      </c>
      <c r="C57" s="14">
        <v>9</v>
      </c>
      <c r="D57" s="19">
        <v>7</v>
      </c>
      <c r="E57" s="74" t="s">
        <v>96</v>
      </c>
      <c r="F57" s="19">
        <v>0.2</v>
      </c>
      <c r="G57" s="19">
        <v>2.2000000000000002</v>
      </c>
      <c r="H57" s="15">
        <v>-1.9</v>
      </c>
      <c r="I57" s="14">
        <f>IF(Data!I57&lt;=QUARTILE(Data!I$4:I$195,1),1,IF(Data!I57&lt;=MEDIAN(Data!I$4:I$195),2,IF(Data!I57&lt;=QUARTILE(Data!I$4:I$195,3),3,4)))</f>
        <v>4</v>
      </c>
      <c r="J57" s="19">
        <f>IF(Data!J57&lt;=QUARTILE(Data!J$4:J$195,1),1,IF(Data!J57&lt;=MEDIAN(Data!J$4:J$195),2,IF(Data!J57&lt;=QUARTILE(Data!J$4:J$195,3),3,4)))</f>
        <v>3</v>
      </c>
      <c r="K57" s="19">
        <f>IF(Data!K57&lt;=QUARTILE(Data!K$4:K$195,1),1,IF(Data!K57&lt;=MEDIAN(Data!K$4:K$195),2,IF(Data!K57&lt;=QUARTILE(Data!K$4:K$195,3),3,4)))</f>
        <v>2</v>
      </c>
      <c r="L57" s="15">
        <f>IF(Data!L57&lt;=QUARTILE(Data!L$4:L$195,1),1,IF(Data!L57&lt;=MEDIAN(Data!L$4:L$195),2,IF(Data!L57&lt;=QUARTILE(Data!L$4:L$195,3),3,4)))</f>
        <v>3</v>
      </c>
      <c r="M57" s="14">
        <f>IF(Data!M57&lt;=QUARTILE(Data!M$4:M$195,1),1,IF(Data!M57&lt;=MEDIAN(Data!M$4:M$195),2,IF(Data!M57&lt;=QUARTILE(Data!M$4:M$195,3),3,4)))</f>
        <v>4</v>
      </c>
      <c r="N57" s="19">
        <f>IF(Data!N57&lt;=QUARTILE(Data!N$4:N$195,1),1,IF(Data!N57&lt;=MEDIAN(Data!N$4:N$195),2,IF(Data!N57&lt;=QUARTILE(Data!N$4:N$195,3),3,4)))</f>
        <v>3</v>
      </c>
      <c r="O57" s="19">
        <f>IF(Data!O57&lt;=QUARTILE(Data!O$4:O$195,1),1,IF(Data!O57&lt;=MEDIAN(Data!O$4:O$195),2,IF(Data!O57&lt;=QUARTILE(Data!O$4:O$195,3),3,4)))</f>
        <v>3</v>
      </c>
      <c r="P57" s="19">
        <f>IF(Data!P57&lt;=QUARTILE(Data!P$4:P$195,1),1,IF(Data!P57&lt;=MEDIAN(Data!P$4:P$195),2,IF(Data!P57&lt;=QUARTILE(Data!P$4:P$195,3),3,4)))</f>
        <v>3</v>
      </c>
      <c r="Q57" s="19">
        <f>IF(Data!Q57&lt;=QUARTILE(Data!Q$4:Q$195,1),1,IF(Data!Q57&lt;=MEDIAN(Data!Q$4:Q$195),2,IF(Data!Q57&lt;=QUARTILE(Data!Q$4:Q$195,3),3,4)))</f>
        <v>3</v>
      </c>
      <c r="R57" s="19">
        <f>IF(Data!R57&lt;=QUARTILE(Data!R$4:R$195,1),1,IF(Data!R57&lt;=MEDIAN(Data!R$4:R$195),2,IF(Data!R57&lt;=QUARTILE(Data!R$4:R$195,3),3,4)))</f>
        <v>2</v>
      </c>
      <c r="S57" s="19">
        <f>IF(Data!S57&lt;=QUARTILE(Data!S$4:S$195,1),1,IF(Data!S57&lt;=MEDIAN(Data!S$4:S$195),2,IF(Data!S57&lt;=QUARTILE(Data!S$4:S$195,3),3,4)))</f>
        <v>2</v>
      </c>
      <c r="T57" s="15">
        <f>IF(Data!T57&lt;=QUARTILE(Data!T$4:T$195,1),1,IF(Data!T57&lt;=MEDIAN(Data!T$4:T$195),2,IF(Data!T57&lt;=QUARTILE(Data!T$4:T$195,3),3,4)))</f>
        <v>2</v>
      </c>
      <c r="U57" s="14">
        <f>IF(Data!U57&lt;=QUARTILE(Data!U$4:U$195,1),1,IF(Data!U57&lt;=MEDIAN(Data!U$4:U$195),2,IF(Data!U57&lt;=QUARTILE(Data!U$4:U$195,3),3,4)))</f>
        <v>2</v>
      </c>
      <c r="V57" s="19">
        <f>IF(Data!V57&lt;=QUARTILE(Data!V$4:V$195,1),1,IF(Data!V57&lt;=MEDIAN(Data!V$4:V$195),2,IF(Data!V57&lt;=QUARTILE(Data!V$4:V$195,3),3,4)))</f>
        <v>3</v>
      </c>
      <c r="W57" s="19">
        <f>IF(Data!W57&lt;=QUARTILE(Data!W$4:W$195,1),1,IF(Data!W57&lt;=MEDIAN(Data!W$4:W$195),2,IF(Data!W57&lt;=QUARTILE(Data!W$4:W$195,3),3,4)))</f>
        <v>4</v>
      </c>
      <c r="X57" s="15">
        <f>IF(Data!X57&lt;=QUARTILE(Data!X$4:X$195,1),1,IF(Data!X57&lt;=MEDIAN(Data!X$4:X$195),2,IF(Data!X57&lt;=QUARTILE(Data!X$4:X$195,3),3,4)))</f>
        <v>2</v>
      </c>
      <c r="Y57" s="14">
        <f>IF(Data!Y57&lt;=QUARTILE(Data!Y$4:Y$195,1),1,IF(Data!Y57&lt;=MEDIAN(Data!Y$4:Y$195),2,IF(Data!Y57&lt;=QUARTILE(Data!Y$4:Y$195,3),3,4)))</f>
        <v>4</v>
      </c>
      <c r="Z57" s="15">
        <f>IF(Data!Z57&lt;=QUARTILE(Data!Z$4:Z$195,1),1,IF(Data!Z57&lt;=MEDIAN(Data!Z$4:Z$195),2,IF(Data!Z57&lt;=QUARTILE(Data!Z$4:Z$195,3),3,4)))</f>
        <v>4</v>
      </c>
      <c r="AA57" s="14">
        <f>IF(Data!AA57&lt;=QUARTILE(Data!AA$4:AA$195,1),1,IF(Data!AA57&lt;=MEDIAN(Data!AA$4:AA$195),2,IF(Data!AA57&lt;=QUARTILE(Data!AA$4:AA$195,3),3,4)))</f>
        <v>1</v>
      </c>
      <c r="AB57" s="15">
        <f>IF(Data!AB57&lt;=QUARTILE(Data!AB$4:AB$195,1),1,IF(Data!AB57&lt;=MEDIAN(Data!AB$4:AB$195),2,IF(Data!AB57&lt;=QUARTILE(Data!AB$4:AB$195,3),3,4)))</f>
        <v>2</v>
      </c>
      <c r="AC57" s="14">
        <f>IF(Data!AC57&lt;=QUARTILE(Data!AC$4:AC$195,1),1,IF(Data!AC57&lt;=MEDIAN(Data!AC$4:AC$195),2,IF(Data!AC57&lt;=QUARTILE(Data!AC$4:AC$195,3),3,4)))</f>
        <v>2</v>
      </c>
      <c r="AD57" s="15">
        <f>IF(Data!AD57&lt;=QUARTILE(Data!AD$4:AD$195,1),1,IF(Data!AD57&lt;=MEDIAN(Data!AD$4:AD$195),2,IF(Data!AD57&lt;=QUARTILE(Data!AD$4:AD$195,3),3,4)))</f>
        <v>2</v>
      </c>
      <c r="AE57" s="4">
        <f>IF(Data!AE57&lt;=QUARTILE(Data!AE$4:AE$195,1),1,IF(Data!AE57&lt;=MEDIAN(Data!AE$4:AE$195),2,IF(Data!AE57&lt;=QUARTILE(Data!AE$4:AE$195,3),3,4)))</f>
        <v>4</v>
      </c>
      <c r="AF57" s="3">
        <f>IF(Data!AF57&lt;=QUARTILE(Data!AF$4:AF$195,1),1,IF(Data!AF57&lt;=MEDIAN(Data!AF$4:AF$195),2,IF(Data!AF57&lt;=QUARTILE(Data!AF$4:AF$195,3),3,4)))</f>
        <v>3</v>
      </c>
      <c r="AG57" s="3">
        <f>IF(Data!AG57&lt;=QUARTILE(Data!AG$4:AG$195,1),1,IF(Data!AG57&lt;=MEDIAN(Data!AG$4:AG$195),2,IF(Data!AG57&lt;=QUARTILE(Data!AG$4:AG$195,3),3,4)))</f>
        <v>1</v>
      </c>
      <c r="AH57" s="3">
        <f>IF(Data!AH57&lt;=QUARTILE(Data!AH$4:AH$195,1),1,IF(Data!AH57&lt;=MEDIAN(Data!AH$4:AH$195),2,IF(Data!AH57&lt;=QUARTILE(Data!AH$4:AH$195,3),3,4)))</f>
        <v>1</v>
      </c>
      <c r="AI57" s="14">
        <f>IF(Data!AI57&lt;=QUARTILE(Data!AI$4:AI$195,1),1,IF(Data!AI57&lt;=MEDIAN(Data!AI$4:AI$195),2,IF(Data!AI57&lt;=QUARTILE(Data!AI$4:AI$195,3),3,4)))</f>
        <v>1</v>
      </c>
      <c r="AJ57" s="15">
        <f>IF(Data!AJ57&lt;=QUARTILE(Data!AJ$4:AJ$195,1),1,IF(Data!AJ57&lt;=MEDIAN(Data!AJ$4:AJ$195),2,IF(Data!AJ57&lt;=QUARTILE(Data!AJ$4:AJ$195,3),3,4)))</f>
        <v>2</v>
      </c>
      <c r="AK57" s="14">
        <f>IF(Data!AK57&lt;=QUARTILE(Data!AK$4:AK$195,1),1,IF(Data!AK57&lt;=MEDIAN(Data!AK$4:AK$195),2,IF(Data!AK57&lt;=QUARTILE(Data!AK$4:AK$195,3),3,4)))</f>
        <v>3</v>
      </c>
      <c r="AL57" s="19">
        <f>IF(Data!AL57&lt;=QUARTILE(Data!AL$4:AL$195,1),1,IF(Data!AL57&lt;=MEDIAN(Data!AL$4:AL$195),2,IF(Data!AL57&lt;=QUARTILE(Data!AL$4:AL$195,3),3,4)))</f>
        <v>3</v>
      </c>
      <c r="AM57" s="19">
        <f>IF(Data!AM57&lt;=QUARTILE(Data!AM$4:AM$195,1),1,IF(Data!AM57&lt;=MEDIAN(Data!AM$4:AM$195),2,IF(Data!AM57&lt;=QUARTILE(Data!AM$4:AM$195,3),3,4)))</f>
        <v>3</v>
      </c>
      <c r="AN57" s="15">
        <f>IF(Data!AN57&lt;=QUARTILE(Data!AN$4:AN$195,1),1,IF(Data!AN57&lt;=MEDIAN(Data!AN$4:AN$195),2,IF(Data!AN57&lt;=QUARTILE(Data!AN$4:AN$195,3),3,4)))</f>
        <v>4</v>
      </c>
      <c r="AO57" s="14">
        <f>IF(Data!AO57&lt;=QUARTILE(Data!AO$4:AO$195,1),1,IF(Data!AO57&lt;=MEDIAN(Data!AO$4:AO$195),2,IF(Data!AO57&lt;=QUARTILE(Data!AO$4:AO$195,3),3,4)))</f>
        <v>4</v>
      </c>
      <c r="AP57" s="19">
        <f>IF(Data!AP57&lt;=QUARTILE(Data!AP$4:AP$195,1),1,IF(Data!AP57&lt;=MEDIAN(Data!AP$4:AP$195),2,IF(Data!AP57&lt;=QUARTILE(Data!AP$4:AP$195,3),3,4)))</f>
        <v>4</v>
      </c>
      <c r="AQ57" s="19">
        <f>IF(Data!AQ57&lt;=QUARTILE(Data!AQ$4:AQ$195,1),1,IF(Data!AQ57&lt;=MEDIAN(Data!AQ$4:AQ$195),2,IF(Data!AQ57&lt;=QUARTILE(Data!AQ$4:AQ$195,3),3,4)))</f>
        <v>4</v>
      </c>
      <c r="AR57" s="19">
        <f>IF(Data!AR57&lt;=QUARTILE(Data!AR$4:AR$195,1),1,IF(Data!AR57&lt;=MEDIAN(Data!AR$4:AR$195),2,IF(Data!AR57&lt;=QUARTILE(Data!AR$4:AR$195,3),3,4)))</f>
        <v>3</v>
      </c>
      <c r="AS57" s="19">
        <f>IF(Data!AS57&lt;=QUARTILE(Data!AS$4:AS$195,1),1,IF(Data!AS57&lt;=MEDIAN(Data!AS$4:AS$195),2,IF(Data!AS57&lt;=QUARTILE(Data!AS$4:AS$195,3),3,4)))</f>
        <v>4</v>
      </c>
      <c r="AT57" s="19">
        <f>IF(Data!AT57&lt;=QUARTILE(Data!AT$4:AT$195,1),1,IF(Data!AT57&lt;=MEDIAN(Data!AT$4:AT$195),2,IF(Data!AT57&lt;=QUARTILE(Data!AT$4:AT$195,3),3,4)))</f>
        <v>4</v>
      </c>
      <c r="AU57" s="15">
        <f>IF(Data!AU57&lt;=QUARTILE(Data!AU$4:AU$195,1),1,IF(Data!AU57&lt;=MEDIAN(Data!AU$4:AU$195),2,IF(Data!AU57&lt;=QUARTILE(Data!AU$4:AU$195,3),3,4)))</f>
        <v>3</v>
      </c>
      <c r="AV57" s="14">
        <f>IF(Data!AV57&lt;=QUARTILE(Data!AV$4:AV$195,1),1,IF(Data!AV57&lt;=MEDIAN(Data!AV$4:AV$195),2,IF(Data!AV57&lt;=QUARTILE(Data!AV$4:AV$195,3),3,4)))</f>
        <v>1</v>
      </c>
      <c r="AW57" s="19">
        <f>IF(Data!AW57&lt;=QUARTILE(Data!AW$4:AW$195,1),1,IF(Data!AW57&lt;=MEDIAN(Data!AW$4:AW$195),2,IF(Data!AW57&lt;=QUARTILE(Data!AW$4:AW$195,3),3,4)))</f>
        <v>1</v>
      </c>
      <c r="AX57" s="19">
        <f>IF(Data!AX57&lt;=QUARTILE(Data!AX$4:AX$195,1),1,IF(Data!AX57&lt;=MEDIAN(Data!AX$4:AX$195),2,IF(Data!AX57&lt;=QUARTILE(Data!AX$4:AX$195,3),3,4)))</f>
        <v>1</v>
      </c>
      <c r="AY57" s="15">
        <f>IF(Data!AY57&lt;=QUARTILE(Data!AY$4:AY$195,1),1,IF(Data!AY57&lt;=MEDIAN(Data!AY$4:AY$195),2,IF(Data!AY57&lt;=QUARTILE(Data!AY$4:AY$195,3),3,4)))</f>
        <v>2</v>
      </c>
      <c r="AZ57" s="14">
        <f>IF(Data!AZ57&lt;=QUARTILE(Data!AZ$4:AZ$195,1),1,IF(Data!AZ57&lt;=MEDIAN(Data!AZ$4:AZ$195),2,IF(Data!AZ57&lt;=QUARTILE(Data!AZ$4:AZ$195,3),3,4)))</f>
        <v>2</v>
      </c>
      <c r="BA57" s="15">
        <f>IF(Data!BA57&lt;=QUARTILE(Data!BA$4:BA$195,1),1,IF(Data!BA57&lt;=MEDIAN(Data!BA$4:BA$195),2,IF(Data!BA57&lt;=QUARTILE(Data!BA$4:BA$195,3),3,4)))</f>
        <v>4</v>
      </c>
    </row>
    <row r="58" spans="1:53" x14ac:dyDescent="0.25">
      <c r="A58" s="4" t="s">
        <v>17</v>
      </c>
      <c r="B58" s="40">
        <v>2008</v>
      </c>
      <c r="C58" s="14">
        <v>5</v>
      </c>
      <c r="D58" s="19">
        <v>11</v>
      </c>
      <c r="E58" s="74" t="s">
        <v>96</v>
      </c>
      <c r="F58" s="19">
        <v>-7.5</v>
      </c>
      <c r="G58" s="19">
        <v>-6.5</v>
      </c>
      <c r="H58" s="15">
        <v>-1</v>
      </c>
      <c r="I58" s="14">
        <f>IF(Data!I58&lt;=QUARTILE(Data!I$4:I$195,1),1,IF(Data!I58&lt;=MEDIAN(Data!I$4:I$195),2,IF(Data!I58&lt;=QUARTILE(Data!I$4:I$195,3),3,4)))</f>
        <v>1</v>
      </c>
      <c r="J58" s="19">
        <f>IF(Data!J58&lt;=QUARTILE(Data!J$4:J$195,1),1,IF(Data!J58&lt;=MEDIAN(Data!J$4:J$195),2,IF(Data!J58&lt;=QUARTILE(Data!J$4:J$195,3),3,4)))</f>
        <v>1</v>
      </c>
      <c r="K58" s="19">
        <f>IF(Data!K58&lt;=QUARTILE(Data!K$4:K$195,1),1,IF(Data!K58&lt;=MEDIAN(Data!K$4:K$195),2,IF(Data!K58&lt;=QUARTILE(Data!K$4:K$195,3),3,4)))</f>
        <v>1</v>
      </c>
      <c r="L58" s="15">
        <f>IF(Data!L58&lt;=QUARTILE(Data!L$4:L$195,1),1,IF(Data!L58&lt;=MEDIAN(Data!L$4:L$195),2,IF(Data!L58&lt;=QUARTILE(Data!L$4:L$195,3),3,4)))</f>
        <v>1</v>
      </c>
      <c r="M58" s="14">
        <f>IF(Data!M58&lt;=QUARTILE(Data!M$4:M$195,1),1,IF(Data!M58&lt;=MEDIAN(Data!M$4:M$195),2,IF(Data!M58&lt;=QUARTILE(Data!M$4:M$195,3),3,4)))</f>
        <v>1</v>
      </c>
      <c r="N58" s="19">
        <f>IF(Data!N58&lt;=QUARTILE(Data!N$4:N$195,1),1,IF(Data!N58&lt;=MEDIAN(Data!N$4:N$195),2,IF(Data!N58&lt;=QUARTILE(Data!N$4:N$195,3),3,4)))</f>
        <v>1</v>
      </c>
      <c r="O58" s="19">
        <f>IF(Data!O58&lt;=QUARTILE(Data!O$4:O$195,1),1,IF(Data!O58&lt;=MEDIAN(Data!O$4:O$195),2,IF(Data!O58&lt;=QUARTILE(Data!O$4:O$195,3),3,4)))</f>
        <v>1</v>
      </c>
      <c r="P58" s="19">
        <f>IF(Data!P58&lt;=QUARTILE(Data!P$4:P$195,1),1,IF(Data!P58&lt;=MEDIAN(Data!P$4:P$195),2,IF(Data!P58&lt;=QUARTILE(Data!P$4:P$195,3),3,4)))</f>
        <v>1</v>
      </c>
      <c r="Q58" s="19">
        <f>IF(Data!Q58&lt;=QUARTILE(Data!Q$4:Q$195,1),1,IF(Data!Q58&lt;=MEDIAN(Data!Q$4:Q$195),2,IF(Data!Q58&lt;=QUARTILE(Data!Q$4:Q$195,3),3,4)))</f>
        <v>1</v>
      </c>
      <c r="R58" s="19">
        <f>IF(Data!R58&lt;=QUARTILE(Data!R$4:R$195,1),1,IF(Data!R58&lt;=MEDIAN(Data!R$4:R$195),2,IF(Data!R58&lt;=QUARTILE(Data!R$4:R$195,3),3,4)))</f>
        <v>1</v>
      </c>
      <c r="S58" s="19">
        <f>IF(Data!S58&lt;=QUARTILE(Data!S$4:S$195,1),1,IF(Data!S58&lt;=MEDIAN(Data!S$4:S$195),2,IF(Data!S58&lt;=QUARTILE(Data!S$4:S$195,3),3,4)))</f>
        <v>3</v>
      </c>
      <c r="T58" s="15">
        <f>IF(Data!T58&lt;=QUARTILE(Data!T$4:T$195,1),1,IF(Data!T58&lt;=MEDIAN(Data!T$4:T$195),2,IF(Data!T58&lt;=QUARTILE(Data!T$4:T$195,3),3,4)))</f>
        <v>3</v>
      </c>
      <c r="U58" s="14">
        <f>IF(Data!U58&lt;=QUARTILE(Data!U$4:U$195,1),1,IF(Data!U58&lt;=MEDIAN(Data!U$4:U$195),2,IF(Data!U58&lt;=QUARTILE(Data!U$4:U$195,3),3,4)))</f>
        <v>3</v>
      </c>
      <c r="V58" s="19">
        <f>IF(Data!V58&lt;=QUARTILE(Data!V$4:V$195,1),1,IF(Data!V58&lt;=MEDIAN(Data!V$4:V$195),2,IF(Data!V58&lt;=QUARTILE(Data!V$4:V$195,3),3,4)))</f>
        <v>3</v>
      </c>
      <c r="W58" s="19">
        <f>IF(Data!W58&lt;=QUARTILE(Data!W$4:W$195,1),1,IF(Data!W58&lt;=MEDIAN(Data!W$4:W$195),2,IF(Data!W58&lt;=QUARTILE(Data!W$4:W$195,3),3,4)))</f>
        <v>1</v>
      </c>
      <c r="X58" s="15">
        <f>IF(Data!X58&lt;=QUARTILE(Data!X$4:X$195,1),1,IF(Data!X58&lt;=MEDIAN(Data!X$4:X$195),2,IF(Data!X58&lt;=QUARTILE(Data!X$4:X$195,3),3,4)))</f>
        <v>2</v>
      </c>
      <c r="Y58" s="14">
        <f>IF(Data!Y58&lt;=QUARTILE(Data!Y$4:Y$195,1),1,IF(Data!Y58&lt;=MEDIAN(Data!Y$4:Y$195),2,IF(Data!Y58&lt;=QUARTILE(Data!Y$4:Y$195,3),3,4)))</f>
        <v>1</v>
      </c>
      <c r="Z58" s="15">
        <f>IF(Data!Z58&lt;=QUARTILE(Data!Z$4:Z$195,1),1,IF(Data!Z58&lt;=MEDIAN(Data!Z$4:Z$195),2,IF(Data!Z58&lt;=QUARTILE(Data!Z$4:Z$195,3),3,4)))</f>
        <v>4</v>
      </c>
      <c r="AA58" s="14">
        <f>IF(Data!AA58&lt;=QUARTILE(Data!AA$4:AA$195,1),1,IF(Data!AA58&lt;=MEDIAN(Data!AA$4:AA$195),2,IF(Data!AA58&lt;=QUARTILE(Data!AA$4:AA$195,3),3,4)))</f>
        <v>4</v>
      </c>
      <c r="AB58" s="15">
        <f>IF(Data!AB58&lt;=QUARTILE(Data!AB$4:AB$195,1),1,IF(Data!AB58&lt;=MEDIAN(Data!AB$4:AB$195),2,IF(Data!AB58&lt;=QUARTILE(Data!AB$4:AB$195,3),3,4)))</f>
        <v>4</v>
      </c>
      <c r="AC58" s="14">
        <f>IF(Data!AC58&lt;=QUARTILE(Data!AC$4:AC$195,1),1,IF(Data!AC58&lt;=MEDIAN(Data!AC$4:AC$195),2,IF(Data!AC58&lt;=QUARTILE(Data!AC$4:AC$195,3),3,4)))</f>
        <v>4</v>
      </c>
      <c r="AD58" s="15">
        <f>IF(Data!AD58&lt;=QUARTILE(Data!AD$4:AD$195,1),1,IF(Data!AD58&lt;=MEDIAN(Data!AD$4:AD$195),2,IF(Data!AD58&lt;=QUARTILE(Data!AD$4:AD$195,3),3,4)))</f>
        <v>4</v>
      </c>
      <c r="AE58" s="4">
        <f>IF(Data!AE58&lt;=QUARTILE(Data!AE$4:AE$195,1),1,IF(Data!AE58&lt;=MEDIAN(Data!AE$4:AE$195),2,IF(Data!AE58&lt;=QUARTILE(Data!AE$4:AE$195,3),3,4)))</f>
        <v>3</v>
      </c>
      <c r="AF58" s="3">
        <f>IF(Data!AF58&lt;=QUARTILE(Data!AF$4:AF$195,1),1,IF(Data!AF58&lt;=MEDIAN(Data!AF$4:AF$195),2,IF(Data!AF58&lt;=QUARTILE(Data!AF$4:AF$195,3),3,4)))</f>
        <v>3</v>
      </c>
      <c r="AG58" s="3">
        <f>IF(Data!AG58&lt;=QUARTILE(Data!AG$4:AG$195,1),1,IF(Data!AG58&lt;=MEDIAN(Data!AG$4:AG$195),2,IF(Data!AG58&lt;=QUARTILE(Data!AG$4:AG$195,3),3,4)))</f>
        <v>2</v>
      </c>
      <c r="AH58" s="3">
        <f>IF(Data!AH58&lt;=QUARTILE(Data!AH$4:AH$195,1),1,IF(Data!AH58&lt;=MEDIAN(Data!AH$4:AH$195),2,IF(Data!AH58&lt;=QUARTILE(Data!AH$4:AH$195,3),3,4)))</f>
        <v>1</v>
      </c>
      <c r="AI58" s="14">
        <f>IF(Data!AI58&lt;=QUARTILE(Data!AI$4:AI$195,1),1,IF(Data!AI58&lt;=MEDIAN(Data!AI$4:AI$195),2,IF(Data!AI58&lt;=QUARTILE(Data!AI$4:AI$195,3),3,4)))</f>
        <v>4</v>
      </c>
      <c r="AJ58" s="15">
        <f>IF(Data!AJ58&lt;=QUARTILE(Data!AJ$4:AJ$195,1),1,IF(Data!AJ58&lt;=MEDIAN(Data!AJ$4:AJ$195),2,IF(Data!AJ58&lt;=QUARTILE(Data!AJ$4:AJ$195,3),3,4)))</f>
        <v>4</v>
      </c>
      <c r="AK58" s="14">
        <f>IF(Data!AK58&lt;=QUARTILE(Data!AK$4:AK$195,1),1,IF(Data!AK58&lt;=MEDIAN(Data!AK$4:AK$195),2,IF(Data!AK58&lt;=QUARTILE(Data!AK$4:AK$195,3),3,4)))</f>
        <v>4</v>
      </c>
      <c r="AL58" s="19">
        <f>IF(Data!AL58&lt;=QUARTILE(Data!AL$4:AL$195,1),1,IF(Data!AL58&lt;=MEDIAN(Data!AL$4:AL$195),2,IF(Data!AL58&lt;=QUARTILE(Data!AL$4:AL$195,3),3,4)))</f>
        <v>4</v>
      </c>
      <c r="AM58" s="19">
        <f>IF(Data!AM58&lt;=QUARTILE(Data!AM$4:AM$195,1),1,IF(Data!AM58&lt;=MEDIAN(Data!AM$4:AM$195),2,IF(Data!AM58&lt;=QUARTILE(Data!AM$4:AM$195,3),3,4)))</f>
        <v>4</v>
      </c>
      <c r="AN58" s="15">
        <f>IF(Data!AN58&lt;=QUARTILE(Data!AN$4:AN$195,1),1,IF(Data!AN58&lt;=MEDIAN(Data!AN$4:AN$195),2,IF(Data!AN58&lt;=QUARTILE(Data!AN$4:AN$195,3),3,4)))</f>
        <v>4</v>
      </c>
      <c r="AO58" s="14">
        <f>IF(Data!AO58&lt;=QUARTILE(Data!AO$4:AO$195,1),1,IF(Data!AO58&lt;=MEDIAN(Data!AO$4:AO$195),2,IF(Data!AO58&lt;=QUARTILE(Data!AO$4:AO$195,3),3,4)))</f>
        <v>1</v>
      </c>
      <c r="AP58" s="19">
        <f>IF(Data!AP58&lt;=QUARTILE(Data!AP$4:AP$195,1),1,IF(Data!AP58&lt;=MEDIAN(Data!AP$4:AP$195),2,IF(Data!AP58&lt;=QUARTILE(Data!AP$4:AP$195,3),3,4)))</f>
        <v>1</v>
      </c>
      <c r="AQ58" s="19">
        <f>IF(Data!AQ58&lt;=QUARTILE(Data!AQ$4:AQ$195,1),1,IF(Data!AQ58&lt;=MEDIAN(Data!AQ$4:AQ$195),2,IF(Data!AQ58&lt;=QUARTILE(Data!AQ$4:AQ$195,3),3,4)))</f>
        <v>2</v>
      </c>
      <c r="AR58" s="19">
        <f>IF(Data!AR58&lt;=QUARTILE(Data!AR$4:AR$195,1),1,IF(Data!AR58&lt;=MEDIAN(Data!AR$4:AR$195),2,IF(Data!AR58&lt;=QUARTILE(Data!AR$4:AR$195,3),3,4)))</f>
        <v>2</v>
      </c>
      <c r="AS58" s="19">
        <f>IF(Data!AS58&lt;=QUARTILE(Data!AS$4:AS$195,1),1,IF(Data!AS58&lt;=MEDIAN(Data!AS$4:AS$195),2,IF(Data!AS58&lt;=QUARTILE(Data!AS$4:AS$195,3),3,4)))</f>
        <v>2</v>
      </c>
      <c r="AT58" s="19">
        <f>IF(Data!AT58&lt;=QUARTILE(Data!AT$4:AT$195,1),1,IF(Data!AT58&lt;=MEDIAN(Data!AT$4:AT$195),2,IF(Data!AT58&lt;=QUARTILE(Data!AT$4:AT$195,3),3,4)))</f>
        <v>2</v>
      </c>
      <c r="AU58" s="15">
        <f>IF(Data!AU58&lt;=QUARTILE(Data!AU$4:AU$195,1),1,IF(Data!AU58&lt;=MEDIAN(Data!AU$4:AU$195),2,IF(Data!AU58&lt;=QUARTILE(Data!AU$4:AU$195,3),3,4)))</f>
        <v>1</v>
      </c>
      <c r="AV58" s="14">
        <f>IF(Data!AV58&lt;=QUARTILE(Data!AV$4:AV$195,1),1,IF(Data!AV58&lt;=MEDIAN(Data!AV$4:AV$195),2,IF(Data!AV58&lt;=QUARTILE(Data!AV$4:AV$195,3),3,4)))</f>
        <v>4</v>
      </c>
      <c r="AW58" s="19">
        <f>IF(Data!AW58&lt;=QUARTILE(Data!AW$4:AW$195,1),1,IF(Data!AW58&lt;=MEDIAN(Data!AW$4:AW$195),2,IF(Data!AW58&lt;=QUARTILE(Data!AW$4:AW$195,3),3,4)))</f>
        <v>4</v>
      </c>
      <c r="AX58" s="19">
        <f>IF(Data!AX58&lt;=QUARTILE(Data!AX$4:AX$195,1),1,IF(Data!AX58&lt;=MEDIAN(Data!AX$4:AX$195),2,IF(Data!AX58&lt;=QUARTILE(Data!AX$4:AX$195,3),3,4)))</f>
        <v>4</v>
      </c>
      <c r="AY58" s="15">
        <f>IF(Data!AY58&lt;=QUARTILE(Data!AY$4:AY$195,1),1,IF(Data!AY58&lt;=MEDIAN(Data!AY$4:AY$195),2,IF(Data!AY58&lt;=QUARTILE(Data!AY$4:AY$195,3),3,4)))</f>
        <v>4</v>
      </c>
      <c r="AZ58" s="14">
        <f>IF(Data!AZ58&lt;=QUARTILE(Data!AZ$4:AZ$195,1),1,IF(Data!AZ58&lt;=MEDIAN(Data!AZ$4:AZ$195),2,IF(Data!AZ58&lt;=QUARTILE(Data!AZ$4:AZ$195,3),3,4)))</f>
        <v>2</v>
      </c>
      <c r="BA58" s="15">
        <f>IF(Data!BA58&lt;=QUARTILE(Data!BA$4:BA$195,1),1,IF(Data!BA58&lt;=MEDIAN(Data!BA$4:BA$195),2,IF(Data!BA58&lt;=QUARTILE(Data!BA$4:BA$195,3),3,4)))</f>
        <v>1</v>
      </c>
    </row>
    <row r="59" spans="1:53" x14ac:dyDescent="0.25">
      <c r="A59" s="4" t="s">
        <v>20</v>
      </c>
      <c r="B59" s="40">
        <v>2008</v>
      </c>
      <c r="C59" s="14">
        <v>9</v>
      </c>
      <c r="D59" s="19">
        <v>6</v>
      </c>
      <c r="E59" s="74" t="s">
        <v>97</v>
      </c>
      <c r="F59" s="19">
        <v>7.8</v>
      </c>
      <c r="G59" s="19">
        <v>4.7</v>
      </c>
      <c r="H59" s="15">
        <v>3.2</v>
      </c>
      <c r="I59" s="14">
        <f>IF(Data!I59&lt;=QUARTILE(Data!I$4:I$195,1),1,IF(Data!I59&lt;=MEDIAN(Data!I$4:I$195),2,IF(Data!I59&lt;=QUARTILE(Data!I$4:I$195,3),3,4)))</f>
        <v>4</v>
      </c>
      <c r="J59" s="19">
        <f>IF(Data!J59&lt;=QUARTILE(Data!J$4:J$195,1),1,IF(Data!J59&lt;=MEDIAN(Data!J$4:J$195),2,IF(Data!J59&lt;=QUARTILE(Data!J$4:J$195,3),3,4)))</f>
        <v>3</v>
      </c>
      <c r="K59" s="19">
        <f>IF(Data!K59&lt;=QUARTILE(Data!K$4:K$195,1),1,IF(Data!K59&lt;=MEDIAN(Data!K$4:K$195),2,IF(Data!K59&lt;=QUARTILE(Data!K$4:K$195,3),3,4)))</f>
        <v>4</v>
      </c>
      <c r="L59" s="15">
        <f>IF(Data!L59&lt;=QUARTILE(Data!L$4:L$195,1),1,IF(Data!L59&lt;=MEDIAN(Data!L$4:L$195),2,IF(Data!L59&lt;=QUARTILE(Data!L$4:L$195,3),3,4)))</f>
        <v>3</v>
      </c>
      <c r="M59" s="14">
        <f>IF(Data!M59&lt;=QUARTILE(Data!M$4:M$195,1),1,IF(Data!M59&lt;=MEDIAN(Data!M$4:M$195),2,IF(Data!M59&lt;=QUARTILE(Data!M$4:M$195,3),3,4)))</f>
        <v>4</v>
      </c>
      <c r="N59" s="19">
        <f>IF(Data!N59&lt;=QUARTILE(Data!N$4:N$195,1),1,IF(Data!N59&lt;=MEDIAN(Data!N$4:N$195),2,IF(Data!N59&lt;=QUARTILE(Data!N$4:N$195,3),3,4)))</f>
        <v>4</v>
      </c>
      <c r="O59" s="19">
        <f>IF(Data!O59&lt;=QUARTILE(Data!O$4:O$195,1),1,IF(Data!O59&lt;=MEDIAN(Data!O$4:O$195),2,IF(Data!O59&lt;=QUARTILE(Data!O$4:O$195,3),3,4)))</f>
        <v>4</v>
      </c>
      <c r="P59" s="19">
        <f>IF(Data!P59&lt;=QUARTILE(Data!P$4:P$195,1),1,IF(Data!P59&lt;=MEDIAN(Data!P$4:P$195),2,IF(Data!P59&lt;=QUARTILE(Data!P$4:P$195,3),3,4)))</f>
        <v>3</v>
      </c>
      <c r="Q59" s="19">
        <f>IF(Data!Q59&lt;=QUARTILE(Data!Q$4:Q$195,1),1,IF(Data!Q59&lt;=MEDIAN(Data!Q$4:Q$195),2,IF(Data!Q59&lt;=QUARTILE(Data!Q$4:Q$195,3),3,4)))</f>
        <v>4</v>
      </c>
      <c r="R59" s="19">
        <f>IF(Data!R59&lt;=QUARTILE(Data!R$4:R$195,1),1,IF(Data!R59&lt;=MEDIAN(Data!R$4:R$195),2,IF(Data!R59&lt;=QUARTILE(Data!R$4:R$195,3),3,4)))</f>
        <v>3</v>
      </c>
      <c r="S59" s="19">
        <f>IF(Data!S59&lt;=QUARTILE(Data!S$4:S$195,1),1,IF(Data!S59&lt;=MEDIAN(Data!S$4:S$195),2,IF(Data!S59&lt;=QUARTILE(Data!S$4:S$195,3),3,4)))</f>
        <v>1</v>
      </c>
      <c r="T59" s="15">
        <f>IF(Data!T59&lt;=QUARTILE(Data!T$4:T$195,1),1,IF(Data!T59&lt;=MEDIAN(Data!T$4:T$195),2,IF(Data!T59&lt;=QUARTILE(Data!T$4:T$195,3),3,4)))</f>
        <v>1</v>
      </c>
      <c r="U59" s="14">
        <f>IF(Data!U59&lt;=QUARTILE(Data!U$4:U$195,1),1,IF(Data!U59&lt;=MEDIAN(Data!U$4:U$195),2,IF(Data!U59&lt;=QUARTILE(Data!U$4:U$195,3),3,4)))</f>
        <v>2</v>
      </c>
      <c r="V59" s="19">
        <f>IF(Data!V59&lt;=QUARTILE(Data!V$4:V$195,1),1,IF(Data!V59&lt;=MEDIAN(Data!V$4:V$195),2,IF(Data!V59&lt;=QUARTILE(Data!V$4:V$195,3),3,4)))</f>
        <v>2</v>
      </c>
      <c r="W59" s="19">
        <f>IF(Data!W59&lt;=QUARTILE(Data!W$4:W$195,1),1,IF(Data!W59&lt;=MEDIAN(Data!W$4:W$195),2,IF(Data!W59&lt;=QUARTILE(Data!W$4:W$195,3),3,4)))</f>
        <v>3</v>
      </c>
      <c r="X59" s="15">
        <f>IF(Data!X59&lt;=QUARTILE(Data!X$4:X$195,1),1,IF(Data!X59&lt;=MEDIAN(Data!X$4:X$195),2,IF(Data!X59&lt;=QUARTILE(Data!X$4:X$195,3),3,4)))</f>
        <v>2</v>
      </c>
      <c r="Y59" s="14">
        <f>IF(Data!Y59&lt;=QUARTILE(Data!Y$4:Y$195,1),1,IF(Data!Y59&lt;=MEDIAN(Data!Y$4:Y$195),2,IF(Data!Y59&lt;=QUARTILE(Data!Y$4:Y$195,3),3,4)))</f>
        <v>2</v>
      </c>
      <c r="Z59" s="15">
        <f>IF(Data!Z59&lt;=QUARTILE(Data!Z$4:Z$195,1),1,IF(Data!Z59&lt;=MEDIAN(Data!Z$4:Z$195),2,IF(Data!Z59&lt;=QUARTILE(Data!Z$4:Z$195,3),3,4)))</f>
        <v>3</v>
      </c>
      <c r="AA59" s="14">
        <f>IF(Data!AA59&lt;=QUARTILE(Data!AA$4:AA$195,1),1,IF(Data!AA59&lt;=MEDIAN(Data!AA$4:AA$195),2,IF(Data!AA59&lt;=QUARTILE(Data!AA$4:AA$195,3),3,4)))</f>
        <v>4</v>
      </c>
      <c r="AB59" s="15">
        <f>IF(Data!AB59&lt;=QUARTILE(Data!AB$4:AB$195,1),1,IF(Data!AB59&lt;=MEDIAN(Data!AB$4:AB$195),2,IF(Data!AB59&lt;=QUARTILE(Data!AB$4:AB$195,3),3,4)))</f>
        <v>4</v>
      </c>
      <c r="AC59" s="14">
        <f>IF(Data!AC59&lt;=QUARTILE(Data!AC$4:AC$195,1),1,IF(Data!AC59&lt;=MEDIAN(Data!AC$4:AC$195),2,IF(Data!AC59&lt;=QUARTILE(Data!AC$4:AC$195,3),3,4)))</f>
        <v>2</v>
      </c>
      <c r="AD59" s="15">
        <f>IF(Data!AD59&lt;=QUARTILE(Data!AD$4:AD$195,1),1,IF(Data!AD59&lt;=MEDIAN(Data!AD$4:AD$195),2,IF(Data!AD59&lt;=QUARTILE(Data!AD$4:AD$195,3),3,4)))</f>
        <v>2</v>
      </c>
      <c r="AE59" s="4">
        <f>IF(Data!AE59&lt;=QUARTILE(Data!AE$4:AE$195,1),1,IF(Data!AE59&lt;=MEDIAN(Data!AE$4:AE$195),2,IF(Data!AE59&lt;=QUARTILE(Data!AE$4:AE$195,3),3,4)))</f>
        <v>4</v>
      </c>
      <c r="AF59" s="3">
        <f>IF(Data!AF59&lt;=QUARTILE(Data!AF$4:AF$195,1),1,IF(Data!AF59&lt;=MEDIAN(Data!AF$4:AF$195),2,IF(Data!AF59&lt;=QUARTILE(Data!AF$4:AF$195,3),3,4)))</f>
        <v>4</v>
      </c>
      <c r="AG59" s="3">
        <f>IF(Data!AG59&lt;=QUARTILE(Data!AG$4:AG$195,1),1,IF(Data!AG59&lt;=MEDIAN(Data!AG$4:AG$195),2,IF(Data!AG59&lt;=QUARTILE(Data!AG$4:AG$195,3),3,4)))</f>
        <v>4</v>
      </c>
      <c r="AH59" s="3">
        <f>IF(Data!AH59&lt;=QUARTILE(Data!AH$4:AH$195,1),1,IF(Data!AH59&lt;=MEDIAN(Data!AH$4:AH$195),2,IF(Data!AH59&lt;=QUARTILE(Data!AH$4:AH$195,3),3,4)))</f>
        <v>3</v>
      </c>
      <c r="AI59" s="14">
        <f>IF(Data!AI59&lt;=QUARTILE(Data!AI$4:AI$195,1),1,IF(Data!AI59&lt;=MEDIAN(Data!AI$4:AI$195),2,IF(Data!AI59&lt;=QUARTILE(Data!AI$4:AI$195,3),3,4)))</f>
        <v>3</v>
      </c>
      <c r="AJ59" s="15">
        <f>IF(Data!AJ59&lt;=QUARTILE(Data!AJ$4:AJ$195,1),1,IF(Data!AJ59&lt;=MEDIAN(Data!AJ$4:AJ$195),2,IF(Data!AJ59&lt;=QUARTILE(Data!AJ$4:AJ$195,3),3,4)))</f>
        <v>3</v>
      </c>
      <c r="AK59" s="14">
        <f>IF(Data!AK59&lt;=QUARTILE(Data!AK$4:AK$195,1),1,IF(Data!AK59&lt;=MEDIAN(Data!AK$4:AK$195),2,IF(Data!AK59&lt;=QUARTILE(Data!AK$4:AK$195,3),3,4)))</f>
        <v>1</v>
      </c>
      <c r="AL59" s="19">
        <f>IF(Data!AL59&lt;=QUARTILE(Data!AL$4:AL$195,1),1,IF(Data!AL59&lt;=MEDIAN(Data!AL$4:AL$195),2,IF(Data!AL59&lt;=QUARTILE(Data!AL$4:AL$195,3),3,4)))</f>
        <v>1</v>
      </c>
      <c r="AM59" s="19">
        <f>IF(Data!AM59&lt;=QUARTILE(Data!AM$4:AM$195,1),1,IF(Data!AM59&lt;=MEDIAN(Data!AM$4:AM$195),2,IF(Data!AM59&lt;=QUARTILE(Data!AM$4:AM$195,3),3,4)))</f>
        <v>2</v>
      </c>
      <c r="AN59" s="15">
        <f>IF(Data!AN59&lt;=QUARTILE(Data!AN$4:AN$195,1),1,IF(Data!AN59&lt;=MEDIAN(Data!AN$4:AN$195),2,IF(Data!AN59&lt;=QUARTILE(Data!AN$4:AN$195,3),3,4)))</f>
        <v>1</v>
      </c>
      <c r="AO59" s="14">
        <f>IF(Data!AO59&lt;=QUARTILE(Data!AO$4:AO$195,1),1,IF(Data!AO59&lt;=MEDIAN(Data!AO$4:AO$195),2,IF(Data!AO59&lt;=QUARTILE(Data!AO$4:AO$195,3),3,4)))</f>
        <v>1</v>
      </c>
      <c r="AP59" s="19">
        <f>IF(Data!AP59&lt;=QUARTILE(Data!AP$4:AP$195,1),1,IF(Data!AP59&lt;=MEDIAN(Data!AP$4:AP$195),2,IF(Data!AP59&lt;=QUARTILE(Data!AP$4:AP$195,3),3,4)))</f>
        <v>3</v>
      </c>
      <c r="AQ59" s="19">
        <f>IF(Data!AQ59&lt;=QUARTILE(Data!AQ$4:AQ$195,1),1,IF(Data!AQ59&lt;=MEDIAN(Data!AQ$4:AQ$195),2,IF(Data!AQ59&lt;=QUARTILE(Data!AQ$4:AQ$195,3),3,4)))</f>
        <v>1</v>
      </c>
      <c r="AR59" s="19">
        <f>IF(Data!AR59&lt;=QUARTILE(Data!AR$4:AR$195,1),1,IF(Data!AR59&lt;=MEDIAN(Data!AR$4:AR$195),2,IF(Data!AR59&lt;=QUARTILE(Data!AR$4:AR$195,3),3,4)))</f>
        <v>2</v>
      </c>
      <c r="AS59" s="19">
        <f>IF(Data!AS59&lt;=QUARTILE(Data!AS$4:AS$195,1),1,IF(Data!AS59&lt;=MEDIAN(Data!AS$4:AS$195),2,IF(Data!AS59&lt;=QUARTILE(Data!AS$4:AS$195,3),3,4)))</f>
        <v>1</v>
      </c>
      <c r="AT59" s="19">
        <f>IF(Data!AT59&lt;=QUARTILE(Data!AT$4:AT$195,1),1,IF(Data!AT59&lt;=MEDIAN(Data!AT$4:AT$195),2,IF(Data!AT59&lt;=QUARTILE(Data!AT$4:AT$195,3),3,4)))</f>
        <v>4</v>
      </c>
      <c r="AU59" s="15">
        <f>IF(Data!AU59&lt;=QUARTILE(Data!AU$4:AU$195,1),1,IF(Data!AU59&lt;=MEDIAN(Data!AU$4:AU$195),2,IF(Data!AU59&lt;=QUARTILE(Data!AU$4:AU$195,3),3,4)))</f>
        <v>4</v>
      </c>
      <c r="AV59" s="14">
        <f>IF(Data!AV59&lt;=QUARTILE(Data!AV$4:AV$195,1),1,IF(Data!AV59&lt;=MEDIAN(Data!AV$4:AV$195),2,IF(Data!AV59&lt;=QUARTILE(Data!AV$4:AV$195,3),3,4)))</f>
        <v>2</v>
      </c>
      <c r="AW59" s="19">
        <f>IF(Data!AW59&lt;=QUARTILE(Data!AW$4:AW$195,1),1,IF(Data!AW59&lt;=MEDIAN(Data!AW$4:AW$195),2,IF(Data!AW59&lt;=QUARTILE(Data!AW$4:AW$195,3),3,4)))</f>
        <v>1</v>
      </c>
      <c r="AX59" s="19">
        <f>IF(Data!AX59&lt;=QUARTILE(Data!AX$4:AX$195,1),1,IF(Data!AX59&lt;=MEDIAN(Data!AX$4:AX$195),2,IF(Data!AX59&lt;=QUARTILE(Data!AX$4:AX$195,3),3,4)))</f>
        <v>1</v>
      </c>
      <c r="AY59" s="15">
        <f>IF(Data!AY59&lt;=QUARTILE(Data!AY$4:AY$195,1),1,IF(Data!AY59&lt;=MEDIAN(Data!AY$4:AY$195),2,IF(Data!AY59&lt;=QUARTILE(Data!AY$4:AY$195,3),3,4)))</f>
        <v>1</v>
      </c>
      <c r="AZ59" s="14">
        <f>IF(Data!AZ59&lt;=QUARTILE(Data!AZ$4:AZ$195,1),1,IF(Data!AZ59&lt;=MEDIAN(Data!AZ$4:AZ$195),2,IF(Data!AZ59&lt;=QUARTILE(Data!AZ$4:AZ$195,3),3,4)))</f>
        <v>2</v>
      </c>
      <c r="BA59" s="15">
        <f>IF(Data!BA59&lt;=QUARTILE(Data!BA$4:BA$195,1),1,IF(Data!BA59&lt;=MEDIAN(Data!BA$4:BA$195),2,IF(Data!BA59&lt;=QUARTILE(Data!BA$4:BA$195,3),3,4)))</f>
        <v>3</v>
      </c>
    </row>
    <row r="60" spans="1:53" x14ac:dyDescent="0.25">
      <c r="A60" s="4" t="s">
        <v>9</v>
      </c>
      <c r="B60" s="40">
        <v>2008</v>
      </c>
      <c r="C60" s="14">
        <v>12</v>
      </c>
      <c r="D60" s="19">
        <v>4</v>
      </c>
      <c r="E60" s="71" t="s">
        <v>97</v>
      </c>
      <c r="F60" s="19">
        <v>9.8000000000000007</v>
      </c>
      <c r="G60" s="19">
        <v>1.6</v>
      </c>
      <c r="H60" s="15">
        <v>8.1999999999999993</v>
      </c>
      <c r="I60" s="14">
        <f>IF(Data!I60&lt;=QUARTILE(Data!I$4:I$195,1),1,IF(Data!I60&lt;=MEDIAN(Data!I$4:I$195),2,IF(Data!I60&lt;=QUARTILE(Data!I$4:I$195,3),3,4)))</f>
        <v>3</v>
      </c>
      <c r="J60" s="19">
        <f>IF(Data!J60&lt;=QUARTILE(Data!J$4:J$195,1),1,IF(Data!J60&lt;=MEDIAN(Data!J$4:J$195),2,IF(Data!J60&lt;=QUARTILE(Data!J$4:J$195,3),3,4)))</f>
        <v>2</v>
      </c>
      <c r="K60" s="19">
        <f>IF(Data!K60&lt;=QUARTILE(Data!K$4:K$195,1),1,IF(Data!K60&lt;=MEDIAN(Data!K$4:K$195),2,IF(Data!K60&lt;=QUARTILE(Data!K$4:K$195,3),3,4)))</f>
        <v>3</v>
      </c>
      <c r="L60" s="15">
        <f>IF(Data!L60&lt;=QUARTILE(Data!L$4:L$195,1),1,IF(Data!L60&lt;=MEDIAN(Data!L$4:L$195),2,IF(Data!L60&lt;=QUARTILE(Data!L$4:L$195,3),3,4)))</f>
        <v>2</v>
      </c>
      <c r="M60" s="14">
        <f>IF(Data!M60&lt;=QUARTILE(Data!M$4:M$195,1),1,IF(Data!M60&lt;=MEDIAN(Data!M$4:M$195),2,IF(Data!M60&lt;=QUARTILE(Data!M$4:M$195,3),3,4)))</f>
        <v>2</v>
      </c>
      <c r="N60" s="19">
        <f>IF(Data!N60&lt;=QUARTILE(Data!N$4:N$195,1),1,IF(Data!N60&lt;=MEDIAN(Data!N$4:N$195),2,IF(Data!N60&lt;=QUARTILE(Data!N$4:N$195,3),3,4)))</f>
        <v>2</v>
      </c>
      <c r="O60" s="19">
        <f>IF(Data!O60&lt;=QUARTILE(Data!O$4:O$195,1),1,IF(Data!O60&lt;=MEDIAN(Data!O$4:O$195),2,IF(Data!O60&lt;=QUARTILE(Data!O$4:O$195,3),3,4)))</f>
        <v>2</v>
      </c>
      <c r="P60" s="19">
        <f>IF(Data!P60&lt;=QUARTILE(Data!P$4:P$195,1),1,IF(Data!P60&lt;=MEDIAN(Data!P$4:P$195),2,IF(Data!P60&lt;=QUARTILE(Data!P$4:P$195,3),3,4)))</f>
        <v>2</v>
      </c>
      <c r="Q60" s="19">
        <f>IF(Data!Q60&lt;=QUARTILE(Data!Q$4:Q$195,1),1,IF(Data!Q60&lt;=MEDIAN(Data!Q$4:Q$195),2,IF(Data!Q60&lt;=QUARTILE(Data!Q$4:Q$195,3),3,4)))</f>
        <v>3</v>
      </c>
      <c r="R60" s="19">
        <f>IF(Data!R60&lt;=QUARTILE(Data!R$4:R$195,1),1,IF(Data!R60&lt;=MEDIAN(Data!R$4:R$195),2,IF(Data!R60&lt;=QUARTILE(Data!R$4:R$195,3),3,4)))</f>
        <v>3</v>
      </c>
      <c r="S60" s="19">
        <f>IF(Data!S60&lt;=QUARTILE(Data!S$4:S$195,1),1,IF(Data!S60&lt;=MEDIAN(Data!S$4:S$195),2,IF(Data!S60&lt;=QUARTILE(Data!S$4:S$195,3),3,4)))</f>
        <v>4</v>
      </c>
      <c r="T60" s="15">
        <f>IF(Data!T60&lt;=QUARTILE(Data!T$4:T$195,1),1,IF(Data!T60&lt;=MEDIAN(Data!T$4:T$195),2,IF(Data!T60&lt;=QUARTILE(Data!T$4:T$195,3),3,4)))</f>
        <v>4</v>
      </c>
      <c r="U60" s="14">
        <f>IF(Data!U60&lt;=QUARTILE(Data!U$4:U$195,1),1,IF(Data!U60&lt;=MEDIAN(Data!U$4:U$195),2,IF(Data!U60&lt;=QUARTILE(Data!U$4:U$195,3),3,4)))</f>
        <v>3</v>
      </c>
      <c r="V60" s="19">
        <f>IF(Data!V60&lt;=QUARTILE(Data!V$4:V$195,1),1,IF(Data!V60&lt;=MEDIAN(Data!V$4:V$195),2,IF(Data!V60&lt;=QUARTILE(Data!V$4:V$195,3),3,4)))</f>
        <v>2</v>
      </c>
      <c r="W60" s="19">
        <f>IF(Data!W60&lt;=QUARTILE(Data!W$4:W$195,1),1,IF(Data!W60&lt;=MEDIAN(Data!W$4:W$195),2,IF(Data!W60&lt;=QUARTILE(Data!W$4:W$195,3),3,4)))</f>
        <v>3</v>
      </c>
      <c r="X60" s="15">
        <f>IF(Data!X60&lt;=QUARTILE(Data!X$4:X$195,1),1,IF(Data!X60&lt;=MEDIAN(Data!X$4:X$195),2,IF(Data!X60&lt;=QUARTILE(Data!X$4:X$195,3),3,4)))</f>
        <v>2</v>
      </c>
      <c r="Y60" s="14">
        <f>IF(Data!Y60&lt;=QUARTILE(Data!Y$4:Y$195,1),1,IF(Data!Y60&lt;=MEDIAN(Data!Y$4:Y$195),2,IF(Data!Y60&lt;=QUARTILE(Data!Y$4:Y$195,3),3,4)))</f>
        <v>2</v>
      </c>
      <c r="Z60" s="15">
        <f>IF(Data!Z60&lt;=QUARTILE(Data!Z$4:Z$195,1),1,IF(Data!Z60&lt;=MEDIAN(Data!Z$4:Z$195),2,IF(Data!Z60&lt;=QUARTILE(Data!Z$4:Z$195,3),3,4)))</f>
        <v>4</v>
      </c>
      <c r="AA60" s="14">
        <f>IF(Data!AA60&lt;=QUARTILE(Data!AA$4:AA$195,1),1,IF(Data!AA60&lt;=MEDIAN(Data!AA$4:AA$195),2,IF(Data!AA60&lt;=QUARTILE(Data!AA$4:AA$195,3),3,4)))</f>
        <v>3</v>
      </c>
      <c r="AB60" s="15">
        <f>IF(Data!AB60&lt;=QUARTILE(Data!AB$4:AB$195,1),1,IF(Data!AB60&lt;=MEDIAN(Data!AB$4:AB$195),2,IF(Data!AB60&lt;=QUARTILE(Data!AB$4:AB$195,3),3,4)))</f>
        <v>2</v>
      </c>
      <c r="AC60" s="14">
        <f>IF(Data!AC60&lt;=QUARTILE(Data!AC$4:AC$195,1),1,IF(Data!AC60&lt;=MEDIAN(Data!AC$4:AC$195),2,IF(Data!AC60&lt;=QUARTILE(Data!AC$4:AC$195,3),3,4)))</f>
        <v>1</v>
      </c>
      <c r="AD60" s="15">
        <f>IF(Data!AD60&lt;=QUARTILE(Data!AD$4:AD$195,1),1,IF(Data!AD60&lt;=MEDIAN(Data!AD$4:AD$195),2,IF(Data!AD60&lt;=QUARTILE(Data!AD$4:AD$195,3),3,4)))</f>
        <v>1</v>
      </c>
      <c r="AE60" s="4">
        <f>IF(Data!AE60&lt;=QUARTILE(Data!AE$4:AE$195,1),1,IF(Data!AE60&lt;=MEDIAN(Data!AE$4:AE$195),2,IF(Data!AE60&lt;=QUARTILE(Data!AE$4:AE$195,3),3,4)))</f>
        <v>3</v>
      </c>
      <c r="AF60" s="3">
        <f>IF(Data!AF60&lt;=QUARTILE(Data!AF$4:AF$195,1),1,IF(Data!AF60&lt;=MEDIAN(Data!AF$4:AF$195),2,IF(Data!AF60&lt;=QUARTILE(Data!AF$4:AF$195,3),3,4)))</f>
        <v>3</v>
      </c>
      <c r="AG60" s="3">
        <f>IF(Data!AG60&lt;=QUARTILE(Data!AG$4:AG$195,1),1,IF(Data!AG60&lt;=MEDIAN(Data!AG$4:AG$195),2,IF(Data!AG60&lt;=QUARTILE(Data!AG$4:AG$195,3),3,4)))</f>
        <v>3</v>
      </c>
      <c r="AH60" s="3">
        <f>IF(Data!AH60&lt;=QUARTILE(Data!AH$4:AH$195,1),1,IF(Data!AH60&lt;=MEDIAN(Data!AH$4:AH$195),2,IF(Data!AH60&lt;=QUARTILE(Data!AH$4:AH$195,3),3,4)))</f>
        <v>3</v>
      </c>
      <c r="AI60" s="14">
        <f>IF(Data!AI60&lt;=QUARTILE(Data!AI$4:AI$195,1),1,IF(Data!AI60&lt;=MEDIAN(Data!AI$4:AI$195),2,IF(Data!AI60&lt;=QUARTILE(Data!AI$4:AI$195,3),3,4)))</f>
        <v>3</v>
      </c>
      <c r="AJ60" s="15">
        <f>IF(Data!AJ60&lt;=QUARTILE(Data!AJ$4:AJ$195,1),1,IF(Data!AJ60&lt;=MEDIAN(Data!AJ$4:AJ$195),2,IF(Data!AJ60&lt;=QUARTILE(Data!AJ$4:AJ$195,3),3,4)))</f>
        <v>3</v>
      </c>
      <c r="AK60" s="4">
        <f>IF(Data!AK60&lt;=QUARTILE(Data!AK$4:AK$195,1),1,IF(Data!AK60&lt;=MEDIAN(Data!AK$4:AK$195),2,IF(Data!AK60&lt;=QUARTILE(Data!AK$4:AK$195,3),3,4)))</f>
        <v>1</v>
      </c>
      <c r="AL60" s="3">
        <f>IF(Data!AL60&lt;=QUARTILE(Data!AL$4:AL$195,1),1,IF(Data!AL60&lt;=MEDIAN(Data!AL$4:AL$195),2,IF(Data!AL60&lt;=QUARTILE(Data!AL$4:AL$195,3),3,4)))</f>
        <v>1</v>
      </c>
      <c r="AM60" s="3">
        <f>IF(Data!AM60&lt;=QUARTILE(Data!AM$4:AM$195,1),1,IF(Data!AM60&lt;=MEDIAN(Data!AM$4:AM$195),2,IF(Data!AM60&lt;=QUARTILE(Data!AM$4:AM$195,3),3,4)))</f>
        <v>1</v>
      </c>
      <c r="AN60" s="5">
        <f>IF(Data!AN60&lt;=QUARTILE(Data!AN$4:AN$195,1),1,IF(Data!AN60&lt;=MEDIAN(Data!AN$4:AN$195),2,IF(Data!AN60&lt;=QUARTILE(Data!AN$4:AN$195,3),3,4)))</f>
        <v>1</v>
      </c>
      <c r="AO60" s="14">
        <f>IF(Data!AO60&lt;=QUARTILE(Data!AO$4:AO$195,1),1,IF(Data!AO60&lt;=MEDIAN(Data!AO$4:AO$195),2,IF(Data!AO60&lt;=QUARTILE(Data!AO$4:AO$195,3),3,4)))</f>
        <v>2</v>
      </c>
      <c r="AP60" s="19">
        <f>IF(Data!AP60&lt;=QUARTILE(Data!AP$4:AP$195,1),1,IF(Data!AP60&lt;=MEDIAN(Data!AP$4:AP$195),2,IF(Data!AP60&lt;=QUARTILE(Data!AP$4:AP$195,3),3,4)))</f>
        <v>3</v>
      </c>
      <c r="AQ60" s="19">
        <f>IF(Data!AQ60&lt;=QUARTILE(Data!AQ$4:AQ$195,1),1,IF(Data!AQ60&lt;=MEDIAN(Data!AQ$4:AQ$195),2,IF(Data!AQ60&lt;=QUARTILE(Data!AQ$4:AQ$195,3),3,4)))</f>
        <v>1</v>
      </c>
      <c r="AR60" s="19">
        <f>IF(Data!AR60&lt;=QUARTILE(Data!AR$4:AR$195,1),1,IF(Data!AR60&lt;=MEDIAN(Data!AR$4:AR$195),2,IF(Data!AR60&lt;=QUARTILE(Data!AR$4:AR$195,3),3,4)))</f>
        <v>1</v>
      </c>
      <c r="AS60" s="19">
        <f>IF(Data!AS60&lt;=QUARTILE(Data!AS$4:AS$195,1),1,IF(Data!AS60&lt;=MEDIAN(Data!AS$4:AS$195),2,IF(Data!AS60&lt;=QUARTILE(Data!AS$4:AS$195,3),3,4)))</f>
        <v>1</v>
      </c>
      <c r="AT60" s="19">
        <f>IF(Data!AT60&lt;=QUARTILE(Data!AT$4:AT$195,1),1,IF(Data!AT60&lt;=MEDIAN(Data!AT$4:AT$195),2,IF(Data!AT60&lt;=QUARTILE(Data!AT$4:AT$195,3),3,4)))</f>
        <v>4</v>
      </c>
      <c r="AU60" s="15">
        <f>IF(Data!AU60&lt;=QUARTILE(Data!AU$4:AU$195,1),1,IF(Data!AU60&lt;=MEDIAN(Data!AU$4:AU$195),2,IF(Data!AU60&lt;=QUARTILE(Data!AU$4:AU$195,3),3,4)))</f>
        <v>4</v>
      </c>
      <c r="AV60" s="14">
        <f>IF(Data!AV60&lt;=QUARTILE(Data!AV$4:AV$195,1),1,IF(Data!AV60&lt;=MEDIAN(Data!AV$4:AV$195),2,IF(Data!AV60&lt;=QUARTILE(Data!AV$4:AV$195,3),3,4)))</f>
        <v>1</v>
      </c>
      <c r="AW60" s="19">
        <f>IF(Data!AW60&lt;=QUARTILE(Data!AW$4:AW$195,1),1,IF(Data!AW60&lt;=MEDIAN(Data!AW$4:AW$195),2,IF(Data!AW60&lt;=QUARTILE(Data!AW$4:AW$195,3),3,4)))</f>
        <v>1</v>
      </c>
      <c r="AX60" s="19">
        <f>IF(Data!AX60&lt;=QUARTILE(Data!AX$4:AX$195,1),1,IF(Data!AX60&lt;=MEDIAN(Data!AX$4:AX$195),2,IF(Data!AX60&lt;=QUARTILE(Data!AX$4:AX$195,3),3,4)))</f>
        <v>1</v>
      </c>
      <c r="AY60" s="15">
        <f>IF(Data!AY60&lt;=QUARTILE(Data!AY$4:AY$195,1),1,IF(Data!AY60&lt;=MEDIAN(Data!AY$4:AY$195),2,IF(Data!AY60&lt;=QUARTILE(Data!AY$4:AY$195,3),3,4)))</f>
        <v>1</v>
      </c>
      <c r="AZ60" s="14">
        <f>IF(Data!AZ60&lt;=QUARTILE(Data!AZ$4:AZ$195,1),1,IF(Data!AZ60&lt;=MEDIAN(Data!AZ$4:AZ$195),2,IF(Data!AZ60&lt;=QUARTILE(Data!AZ$4:AZ$195,3),3,4)))</f>
        <v>4</v>
      </c>
      <c r="BA60" s="15">
        <f>IF(Data!BA60&lt;=QUARTILE(Data!BA$4:BA$195,1),1,IF(Data!BA60&lt;=MEDIAN(Data!BA$4:BA$195),2,IF(Data!BA60&lt;=QUARTILE(Data!BA$4:BA$195,3),3,4)))</f>
        <v>1</v>
      </c>
    </row>
    <row r="61" spans="1:53" x14ac:dyDescent="0.25">
      <c r="A61" s="4" t="s">
        <v>15</v>
      </c>
      <c r="B61" s="40">
        <v>2008</v>
      </c>
      <c r="C61" s="14">
        <v>8</v>
      </c>
      <c r="D61" s="19">
        <v>8</v>
      </c>
      <c r="E61" s="74" t="s">
        <v>97</v>
      </c>
      <c r="F61" s="19">
        <v>5</v>
      </c>
      <c r="G61" s="19">
        <v>5</v>
      </c>
      <c r="H61" s="15">
        <v>0</v>
      </c>
      <c r="I61" s="14">
        <f>IF(Data!I61&lt;=QUARTILE(Data!I$4:I$195,1),1,IF(Data!I61&lt;=MEDIAN(Data!I$4:I$195),2,IF(Data!I61&lt;=QUARTILE(Data!I$4:I$195,3),3,4)))</f>
        <v>4</v>
      </c>
      <c r="J61" s="19">
        <f>IF(Data!J61&lt;=QUARTILE(Data!J$4:J$195,1),1,IF(Data!J61&lt;=MEDIAN(Data!J$4:J$195),2,IF(Data!J61&lt;=QUARTILE(Data!J$4:J$195,3),3,4)))</f>
        <v>3</v>
      </c>
      <c r="K61" s="19">
        <f>IF(Data!K61&lt;=QUARTILE(Data!K$4:K$195,1),1,IF(Data!K61&lt;=MEDIAN(Data!K$4:K$195),2,IF(Data!K61&lt;=QUARTILE(Data!K$4:K$195,3),3,4)))</f>
        <v>1</v>
      </c>
      <c r="L61" s="15">
        <f>IF(Data!L61&lt;=QUARTILE(Data!L$4:L$195,1),1,IF(Data!L61&lt;=MEDIAN(Data!L$4:L$195),2,IF(Data!L61&lt;=QUARTILE(Data!L$4:L$195,3),3,4)))</f>
        <v>3</v>
      </c>
      <c r="M61" s="14">
        <f>IF(Data!M61&lt;=QUARTILE(Data!M$4:M$195,1),1,IF(Data!M61&lt;=MEDIAN(Data!M$4:M$195),2,IF(Data!M61&lt;=QUARTILE(Data!M$4:M$195,3),3,4)))</f>
        <v>2</v>
      </c>
      <c r="N61" s="19">
        <f>IF(Data!N61&lt;=QUARTILE(Data!N$4:N$195,1),1,IF(Data!N61&lt;=MEDIAN(Data!N$4:N$195),2,IF(Data!N61&lt;=QUARTILE(Data!N$4:N$195,3),3,4)))</f>
        <v>2</v>
      </c>
      <c r="O61" s="19">
        <f>IF(Data!O61&lt;=QUARTILE(Data!O$4:O$195,1),1,IF(Data!O61&lt;=MEDIAN(Data!O$4:O$195),2,IF(Data!O61&lt;=QUARTILE(Data!O$4:O$195,3),3,4)))</f>
        <v>4</v>
      </c>
      <c r="P61" s="19">
        <f>IF(Data!P61&lt;=QUARTILE(Data!P$4:P$195,1),1,IF(Data!P61&lt;=MEDIAN(Data!P$4:P$195),2,IF(Data!P61&lt;=QUARTILE(Data!P$4:P$195,3),3,4)))</f>
        <v>4</v>
      </c>
      <c r="Q61" s="19">
        <f>IF(Data!Q61&lt;=QUARTILE(Data!Q$4:Q$195,1),1,IF(Data!Q61&lt;=MEDIAN(Data!Q$4:Q$195),2,IF(Data!Q61&lt;=QUARTILE(Data!Q$4:Q$195,3),3,4)))</f>
        <v>3</v>
      </c>
      <c r="R61" s="19">
        <f>IF(Data!R61&lt;=QUARTILE(Data!R$4:R$195,1),1,IF(Data!R61&lt;=MEDIAN(Data!R$4:R$195),2,IF(Data!R61&lt;=QUARTILE(Data!R$4:R$195,3),3,4)))</f>
        <v>4</v>
      </c>
      <c r="S61" s="19">
        <f>IF(Data!S61&lt;=QUARTILE(Data!S$4:S$195,1),1,IF(Data!S61&lt;=MEDIAN(Data!S$4:S$195),2,IF(Data!S61&lt;=QUARTILE(Data!S$4:S$195,3),3,4)))</f>
        <v>1</v>
      </c>
      <c r="T61" s="15">
        <f>IF(Data!T61&lt;=QUARTILE(Data!T$4:T$195,1),1,IF(Data!T61&lt;=MEDIAN(Data!T$4:T$195),2,IF(Data!T61&lt;=QUARTILE(Data!T$4:T$195,3),3,4)))</f>
        <v>1</v>
      </c>
      <c r="U61" s="14">
        <f>IF(Data!U61&lt;=QUARTILE(Data!U$4:U$195,1),1,IF(Data!U61&lt;=MEDIAN(Data!U$4:U$195),2,IF(Data!U61&lt;=QUARTILE(Data!U$4:U$195,3),3,4)))</f>
        <v>2</v>
      </c>
      <c r="V61" s="19">
        <f>IF(Data!V61&lt;=QUARTILE(Data!V$4:V$195,1),1,IF(Data!V61&lt;=MEDIAN(Data!V$4:V$195),2,IF(Data!V61&lt;=QUARTILE(Data!V$4:V$195,3),3,4)))</f>
        <v>2</v>
      </c>
      <c r="W61" s="19">
        <f>IF(Data!W61&lt;=QUARTILE(Data!W$4:W$195,1),1,IF(Data!W61&lt;=MEDIAN(Data!W$4:W$195),2,IF(Data!W61&lt;=QUARTILE(Data!W$4:W$195,3),3,4)))</f>
        <v>2</v>
      </c>
      <c r="X61" s="15">
        <f>IF(Data!X61&lt;=QUARTILE(Data!X$4:X$195,1),1,IF(Data!X61&lt;=MEDIAN(Data!X$4:X$195),2,IF(Data!X61&lt;=QUARTILE(Data!X$4:X$195,3),3,4)))</f>
        <v>2</v>
      </c>
      <c r="Y61" s="14">
        <f>IF(Data!Y61&lt;=QUARTILE(Data!Y$4:Y$195,1),1,IF(Data!Y61&lt;=MEDIAN(Data!Y$4:Y$195),2,IF(Data!Y61&lt;=QUARTILE(Data!Y$4:Y$195,3),3,4)))</f>
        <v>1</v>
      </c>
      <c r="Z61" s="15">
        <f>IF(Data!Z61&lt;=QUARTILE(Data!Z$4:Z$195,1),1,IF(Data!Z61&lt;=MEDIAN(Data!Z$4:Z$195),2,IF(Data!Z61&lt;=QUARTILE(Data!Z$4:Z$195,3),3,4)))</f>
        <v>4</v>
      </c>
      <c r="AA61" s="14">
        <f>IF(Data!AA61&lt;=QUARTILE(Data!AA$4:AA$195,1),1,IF(Data!AA61&lt;=MEDIAN(Data!AA$4:AA$195),2,IF(Data!AA61&lt;=QUARTILE(Data!AA$4:AA$195,3),3,4)))</f>
        <v>1</v>
      </c>
      <c r="AB61" s="15">
        <f>IF(Data!AB61&lt;=QUARTILE(Data!AB$4:AB$195,1),1,IF(Data!AB61&lt;=MEDIAN(Data!AB$4:AB$195),2,IF(Data!AB61&lt;=QUARTILE(Data!AB$4:AB$195,3),3,4)))</f>
        <v>2</v>
      </c>
      <c r="AC61" s="14">
        <f>IF(Data!AC61&lt;=QUARTILE(Data!AC$4:AC$195,1),1,IF(Data!AC61&lt;=MEDIAN(Data!AC$4:AC$195),2,IF(Data!AC61&lt;=QUARTILE(Data!AC$4:AC$195,3),3,4)))</f>
        <v>2</v>
      </c>
      <c r="AD61" s="15">
        <f>IF(Data!AD61&lt;=QUARTILE(Data!AD$4:AD$195,1),1,IF(Data!AD61&lt;=MEDIAN(Data!AD$4:AD$195),2,IF(Data!AD61&lt;=QUARTILE(Data!AD$4:AD$195,3),3,4)))</f>
        <v>3</v>
      </c>
      <c r="AE61" s="4">
        <f>IF(Data!AE61&lt;=QUARTILE(Data!AE$4:AE$195,1),1,IF(Data!AE61&lt;=MEDIAN(Data!AE$4:AE$195),2,IF(Data!AE61&lt;=QUARTILE(Data!AE$4:AE$195,3),3,4)))</f>
        <v>4</v>
      </c>
      <c r="AF61" s="3">
        <f>IF(Data!AF61&lt;=QUARTILE(Data!AF$4:AF$195,1),1,IF(Data!AF61&lt;=MEDIAN(Data!AF$4:AF$195),2,IF(Data!AF61&lt;=QUARTILE(Data!AF$4:AF$195,3),3,4)))</f>
        <v>4</v>
      </c>
      <c r="AG61" s="3">
        <f>IF(Data!AG61&lt;=QUARTILE(Data!AG$4:AG$195,1),1,IF(Data!AG61&lt;=MEDIAN(Data!AG$4:AG$195),2,IF(Data!AG61&lt;=QUARTILE(Data!AG$4:AG$195,3),3,4)))</f>
        <v>1</v>
      </c>
      <c r="AH61" s="3">
        <f>IF(Data!AH61&lt;=QUARTILE(Data!AH$4:AH$195,1),1,IF(Data!AH61&lt;=MEDIAN(Data!AH$4:AH$195),2,IF(Data!AH61&lt;=QUARTILE(Data!AH$4:AH$195,3),3,4)))</f>
        <v>1</v>
      </c>
      <c r="AI61" s="14">
        <f>IF(Data!AI61&lt;=QUARTILE(Data!AI$4:AI$195,1),1,IF(Data!AI61&lt;=MEDIAN(Data!AI$4:AI$195),2,IF(Data!AI61&lt;=QUARTILE(Data!AI$4:AI$195,3),3,4)))</f>
        <v>1</v>
      </c>
      <c r="AJ61" s="15">
        <f>IF(Data!AJ61&lt;=QUARTILE(Data!AJ$4:AJ$195,1),1,IF(Data!AJ61&lt;=MEDIAN(Data!AJ$4:AJ$195),2,IF(Data!AJ61&lt;=QUARTILE(Data!AJ$4:AJ$195,3),3,4)))</f>
        <v>1</v>
      </c>
      <c r="AK61" s="14">
        <f>IF(Data!AK61&lt;=QUARTILE(Data!AK$4:AK$195,1),1,IF(Data!AK61&lt;=MEDIAN(Data!AK$4:AK$195),2,IF(Data!AK61&lt;=QUARTILE(Data!AK$4:AK$195,3),3,4)))</f>
        <v>3</v>
      </c>
      <c r="AL61" s="19">
        <f>IF(Data!AL61&lt;=QUARTILE(Data!AL$4:AL$195,1),1,IF(Data!AL61&lt;=MEDIAN(Data!AL$4:AL$195),2,IF(Data!AL61&lt;=QUARTILE(Data!AL$4:AL$195,3),3,4)))</f>
        <v>4</v>
      </c>
      <c r="AM61" s="19">
        <f>IF(Data!AM61&lt;=QUARTILE(Data!AM$4:AM$195,1),1,IF(Data!AM61&lt;=MEDIAN(Data!AM$4:AM$195),2,IF(Data!AM61&lt;=QUARTILE(Data!AM$4:AM$195,3),3,4)))</f>
        <v>4</v>
      </c>
      <c r="AN61" s="15">
        <f>IF(Data!AN61&lt;=QUARTILE(Data!AN$4:AN$195,1),1,IF(Data!AN61&lt;=MEDIAN(Data!AN$4:AN$195),2,IF(Data!AN61&lt;=QUARTILE(Data!AN$4:AN$195,3),3,4)))</f>
        <v>4</v>
      </c>
      <c r="AO61" s="14">
        <f>IF(Data!AO61&lt;=QUARTILE(Data!AO$4:AO$195,1),1,IF(Data!AO61&lt;=MEDIAN(Data!AO$4:AO$195),2,IF(Data!AO61&lt;=QUARTILE(Data!AO$4:AO$195,3),3,4)))</f>
        <v>4</v>
      </c>
      <c r="AP61" s="19">
        <f>IF(Data!AP61&lt;=QUARTILE(Data!AP$4:AP$195,1),1,IF(Data!AP61&lt;=MEDIAN(Data!AP$4:AP$195),2,IF(Data!AP61&lt;=QUARTILE(Data!AP$4:AP$195,3),3,4)))</f>
        <v>4</v>
      </c>
      <c r="AQ61" s="19">
        <f>IF(Data!AQ61&lt;=QUARTILE(Data!AQ$4:AQ$195,1),1,IF(Data!AQ61&lt;=MEDIAN(Data!AQ$4:AQ$195),2,IF(Data!AQ61&lt;=QUARTILE(Data!AQ$4:AQ$195,3),3,4)))</f>
        <v>4</v>
      </c>
      <c r="AR61" s="19">
        <f>IF(Data!AR61&lt;=QUARTILE(Data!AR$4:AR$195,1),1,IF(Data!AR61&lt;=MEDIAN(Data!AR$4:AR$195),2,IF(Data!AR61&lt;=QUARTILE(Data!AR$4:AR$195,3),3,4)))</f>
        <v>3</v>
      </c>
      <c r="AS61" s="19">
        <f>IF(Data!AS61&lt;=QUARTILE(Data!AS$4:AS$195,1),1,IF(Data!AS61&lt;=MEDIAN(Data!AS$4:AS$195),2,IF(Data!AS61&lt;=QUARTILE(Data!AS$4:AS$195,3),3,4)))</f>
        <v>4</v>
      </c>
      <c r="AT61" s="19">
        <f>IF(Data!AT61&lt;=QUARTILE(Data!AT$4:AT$195,1),1,IF(Data!AT61&lt;=MEDIAN(Data!AT$4:AT$195),2,IF(Data!AT61&lt;=QUARTILE(Data!AT$4:AT$195,3),3,4)))</f>
        <v>1</v>
      </c>
      <c r="AU61" s="15">
        <f>IF(Data!AU61&lt;=QUARTILE(Data!AU$4:AU$195,1),1,IF(Data!AU61&lt;=MEDIAN(Data!AU$4:AU$195),2,IF(Data!AU61&lt;=QUARTILE(Data!AU$4:AU$195,3),3,4)))</f>
        <v>1</v>
      </c>
      <c r="AV61" s="14">
        <f>IF(Data!AV61&lt;=QUARTILE(Data!AV$4:AV$195,1),1,IF(Data!AV61&lt;=MEDIAN(Data!AV$4:AV$195),2,IF(Data!AV61&lt;=QUARTILE(Data!AV$4:AV$195,3),3,4)))</f>
        <v>1</v>
      </c>
      <c r="AW61" s="19">
        <f>IF(Data!AW61&lt;=QUARTILE(Data!AW$4:AW$195,1),1,IF(Data!AW61&lt;=MEDIAN(Data!AW$4:AW$195),2,IF(Data!AW61&lt;=QUARTILE(Data!AW$4:AW$195,3),3,4)))</f>
        <v>2</v>
      </c>
      <c r="AX61" s="19">
        <f>IF(Data!AX61&lt;=QUARTILE(Data!AX$4:AX$195,1),1,IF(Data!AX61&lt;=MEDIAN(Data!AX$4:AX$195),2,IF(Data!AX61&lt;=QUARTILE(Data!AX$4:AX$195,3),3,4)))</f>
        <v>2</v>
      </c>
      <c r="AY61" s="15">
        <f>IF(Data!AY61&lt;=QUARTILE(Data!AY$4:AY$195,1),1,IF(Data!AY61&lt;=MEDIAN(Data!AY$4:AY$195),2,IF(Data!AY61&lt;=QUARTILE(Data!AY$4:AY$195,3),3,4)))</f>
        <v>2</v>
      </c>
      <c r="AZ61" s="14">
        <f>IF(Data!AZ61&lt;=QUARTILE(Data!AZ$4:AZ$195,1),1,IF(Data!AZ61&lt;=MEDIAN(Data!AZ$4:AZ$195),2,IF(Data!AZ61&lt;=QUARTILE(Data!AZ$4:AZ$195,3),3,4)))</f>
        <v>2</v>
      </c>
      <c r="BA61" s="15">
        <f>IF(Data!BA61&lt;=QUARTILE(Data!BA$4:BA$195,1),1,IF(Data!BA61&lt;=MEDIAN(Data!BA$4:BA$195),2,IF(Data!BA61&lt;=QUARTILE(Data!BA$4:BA$195,3),3,4)))</f>
        <v>1</v>
      </c>
    </row>
    <row r="62" spans="1:53" x14ac:dyDescent="0.25">
      <c r="A62" s="4" t="s">
        <v>32</v>
      </c>
      <c r="B62" s="40">
        <v>2008</v>
      </c>
      <c r="C62" s="14">
        <v>7</v>
      </c>
      <c r="D62" s="19">
        <v>9</v>
      </c>
      <c r="E62" s="74" t="s">
        <v>96</v>
      </c>
      <c r="F62" s="19">
        <v>-5.3</v>
      </c>
      <c r="G62" s="19">
        <v>-2.9</v>
      </c>
      <c r="H62" s="15">
        <v>-2.4</v>
      </c>
      <c r="I62" s="14">
        <f>IF(Data!I62&lt;=QUARTILE(Data!I$4:I$195,1),1,IF(Data!I62&lt;=MEDIAN(Data!I$4:I$195),2,IF(Data!I62&lt;=QUARTILE(Data!I$4:I$195,3),3,4)))</f>
        <v>2</v>
      </c>
      <c r="J62" s="19">
        <f>IF(Data!J62&lt;=QUARTILE(Data!J$4:J$195,1),1,IF(Data!J62&lt;=MEDIAN(Data!J$4:J$195),2,IF(Data!J62&lt;=QUARTILE(Data!J$4:J$195,3),3,4)))</f>
        <v>2</v>
      </c>
      <c r="K62" s="19">
        <f>IF(Data!K62&lt;=QUARTILE(Data!K$4:K$195,1),1,IF(Data!K62&lt;=MEDIAN(Data!K$4:K$195),2,IF(Data!K62&lt;=QUARTILE(Data!K$4:K$195,3),3,4)))</f>
        <v>1</v>
      </c>
      <c r="L62" s="15">
        <f>IF(Data!L62&lt;=QUARTILE(Data!L$4:L$195,1),1,IF(Data!L62&lt;=MEDIAN(Data!L$4:L$195),2,IF(Data!L62&lt;=QUARTILE(Data!L$4:L$195,3),3,4)))</f>
        <v>2</v>
      </c>
      <c r="M62" s="14">
        <f>IF(Data!M62&lt;=QUARTILE(Data!M$4:M$195,1),1,IF(Data!M62&lt;=MEDIAN(Data!M$4:M$195),2,IF(Data!M62&lt;=QUARTILE(Data!M$4:M$195,3),3,4)))</f>
        <v>2</v>
      </c>
      <c r="N62" s="19">
        <f>IF(Data!N62&lt;=QUARTILE(Data!N$4:N$195,1),1,IF(Data!N62&lt;=MEDIAN(Data!N$4:N$195),2,IF(Data!N62&lt;=QUARTILE(Data!N$4:N$195,3),3,4)))</f>
        <v>2</v>
      </c>
      <c r="O62" s="19">
        <f>IF(Data!O62&lt;=QUARTILE(Data!O$4:O$195,1),1,IF(Data!O62&lt;=MEDIAN(Data!O$4:O$195),2,IF(Data!O62&lt;=QUARTILE(Data!O$4:O$195,3),3,4)))</f>
        <v>3</v>
      </c>
      <c r="P62" s="19">
        <f>IF(Data!P62&lt;=QUARTILE(Data!P$4:P$195,1),1,IF(Data!P62&lt;=MEDIAN(Data!P$4:P$195),2,IF(Data!P62&lt;=QUARTILE(Data!P$4:P$195,3),3,4)))</f>
        <v>2</v>
      </c>
      <c r="Q62" s="19">
        <f>IF(Data!Q62&lt;=QUARTILE(Data!Q$4:Q$195,1),1,IF(Data!Q62&lt;=MEDIAN(Data!Q$4:Q$195),2,IF(Data!Q62&lt;=QUARTILE(Data!Q$4:Q$195,3),3,4)))</f>
        <v>3</v>
      </c>
      <c r="R62" s="19">
        <f>IF(Data!R62&lt;=QUARTILE(Data!R$4:R$195,1),1,IF(Data!R62&lt;=MEDIAN(Data!R$4:R$195),2,IF(Data!R62&lt;=QUARTILE(Data!R$4:R$195,3),3,4)))</f>
        <v>3</v>
      </c>
      <c r="S62" s="19">
        <f>IF(Data!S62&lt;=QUARTILE(Data!S$4:S$195,1),1,IF(Data!S62&lt;=MEDIAN(Data!S$4:S$195),2,IF(Data!S62&lt;=QUARTILE(Data!S$4:S$195,3),3,4)))</f>
        <v>4</v>
      </c>
      <c r="T62" s="15">
        <f>IF(Data!T62&lt;=QUARTILE(Data!T$4:T$195,1),1,IF(Data!T62&lt;=MEDIAN(Data!T$4:T$195),2,IF(Data!T62&lt;=QUARTILE(Data!T$4:T$195,3),3,4)))</f>
        <v>4</v>
      </c>
      <c r="U62" s="14">
        <f>IF(Data!U62&lt;=QUARTILE(Data!U$4:U$195,1),1,IF(Data!U62&lt;=MEDIAN(Data!U$4:U$195),2,IF(Data!U62&lt;=QUARTILE(Data!U$4:U$195,3),3,4)))</f>
        <v>1</v>
      </c>
      <c r="V62" s="19">
        <f>IF(Data!V62&lt;=QUARTILE(Data!V$4:V$195,1),1,IF(Data!V62&lt;=MEDIAN(Data!V$4:V$195),2,IF(Data!V62&lt;=QUARTILE(Data!V$4:V$195,3),3,4)))</f>
        <v>1</v>
      </c>
      <c r="W62" s="19">
        <f>IF(Data!W62&lt;=QUARTILE(Data!W$4:W$195,1),1,IF(Data!W62&lt;=MEDIAN(Data!W$4:W$195),2,IF(Data!W62&lt;=QUARTILE(Data!W$4:W$195,3),3,4)))</f>
        <v>2</v>
      </c>
      <c r="X62" s="15">
        <f>IF(Data!X62&lt;=QUARTILE(Data!X$4:X$195,1),1,IF(Data!X62&lt;=MEDIAN(Data!X$4:X$195),2,IF(Data!X62&lt;=QUARTILE(Data!X$4:X$195,3),3,4)))</f>
        <v>1</v>
      </c>
      <c r="Y62" s="14">
        <f>IF(Data!Y62&lt;=QUARTILE(Data!Y$4:Y$195,1),1,IF(Data!Y62&lt;=MEDIAN(Data!Y$4:Y$195),2,IF(Data!Y62&lt;=QUARTILE(Data!Y$4:Y$195,3),3,4)))</f>
        <v>3</v>
      </c>
      <c r="Z62" s="15">
        <f>IF(Data!Z62&lt;=QUARTILE(Data!Z$4:Z$195,1),1,IF(Data!Z62&lt;=MEDIAN(Data!Z$4:Z$195),2,IF(Data!Z62&lt;=QUARTILE(Data!Z$4:Z$195,3),3,4)))</f>
        <v>4</v>
      </c>
      <c r="AA62" s="14">
        <f>IF(Data!AA62&lt;=QUARTILE(Data!AA$4:AA$195,1),1,IF(Data!AA62&lt;=MEDIAN(Data!AA$4:AA$195),2,IF(Data!AA62&lt;=QUARTILE(Data!AA$4:AA$195,3),3,4)))</f>
        <v>1</v>
      </c>
      <c r="AB62" s="15">
        <f>IF(Data!AB62&lt;=QUARTILE(Data!AB$4:AB$195,1),1,IF(Data!AB62&lt;=MEDIAN(Data!AB$4:AB$195),2,IF(Data!AB62&lt;=QUARTILE(Data!AB$4:AB$195,3),3,4)))</f>
        <v>2</v>
      </c>
      <c r="AC62" s="14">
        <f>IF(Data!AC62&lt;=QUARTILE(Data!AC$4:AC$195,1),1,IF(Data!AC62&lt;=MEDIAN(Data!AC$4:AC$195),2,IF(Data!AC62&lt;=QUARTILE(Data!AC$4:AC$195,3),3,4)))</f>
        <v>4</v>
      </c>
      <c r="AD62" s="15">
        <f>IF(Data!AD62&lt;=QUARTILE(Data!AD$4:AD$195,1),1,IF(Data!AD62&lt;=MEDIAN(Data!AD$4:AD$195),2,IF(Data!AD62&lt;=QUARTILE(Data!AD$4:AD$195,3),3,4)))</f>
        <v>4</v>
      </c>
      <c r="AE62" s="4">
        <f>IF(Data!AE62&lt;=QUARTILE(Data!AE$4:AE$195,1),1,IF(Data!AE62&lt;=MEDIAN(Data!AE$4:AE$195),2,IF(Data!AE62&lt;=QUARTILE(Data!AE$4:AE$195,3),3,4)))</f>
        <v>3</v>
      </c>
      <c r="AF62" s="3">
        <f>IF(Data!AF62&lt;=QUARTILE(Data!AF$4:AF$195,1),1,IF(Data!AF62&lt;=MEDIAN(Data!AF$4:AF$195),2,IF(Data!AF62&lt;=QUARTILE(Data!AF$4:AF$195,3),3,4)))</f>
        <v>3</v>
      </c>
      <c r="AG62" s="3">
        <f>IF(Data!AG62&lt;=QUARTILE(Data!AG$4:AG$195,1),1,IF(Data!AG62&lt;=MEDIAN(Data!AG$4:AG$195),2,IF(Data!AG62&lt;=QUARTILE(Data!AG$4:AG$195,3),3,4)))</f>
        <v>3</v>
      </c>
      <c r="AH62" s="3">
        <f>IF(Data!AH62&lt;=QUARTILE(Data!AH$4:AH$195,1),1,IF(Data!AH62&lt;=MEDIAN(Data!AH$4:AH$195),2,IF(Data!AH62&lt;=QUARTILE(Data!AH$4:AH$195,3),3,4)))</f>
        <v>3</v>
      </c>
      <c r="AI62" s="14">
        <f>IF(Data!AI62&lt;=QUARTILE(Data!AI$4:AI$195,1),1,IF(Data!AI62&lt;=MEDIAN(Data!AI$4:AI$195),2,IF(Data!AI62&lt;=QUARTILE(Data!AI$4:AI$195,3),3,4)))</f>
        <v>1</v>
      </c>
      <c r="AJ62" s="15">
        <f>IF(Data!AJ62&lt;=QUARTILE(Data!AJ$4:AJ$195,1),1,IF(Data!AJ62&lt;=MEDIAN(Data!AJ$4:AJ$195),2,IF(Data!AJ62&lt;=QUARTILE(Data!AJ$4:AJ$195,3),3,4)))</f>
        <v>3</v>
      </c>
      <c r="AK62" s="14">
        <f>IF(Data!AK62&lt;=QUARTILE(Data!AK$4:AK$195,1),1,IF(Data!AK62&lt;=MEDIAN(Data!AK$4:AK$195),2,IF(Data!AK62&lt;=QUARTILE(Data!AK$4:AK$195,3),3,4)))</f>
        <v>3</v>
      </c>
      <c r="AL62" s="19">
        <f>IF(Data!AL62&lt;=QUARTILE(Data!AL$4:AL$195,1),1,IF(Data!AL62&lt;=MEDIAN(Data!AL$4:AL$195),2,IF(Data!AL62&lt;=QUARTILE(Data!AL$4:AL$195,3),3,4)))</f>
        <v>2</v>
      </c>
      <c r="AM62" s="19">
        <f>IF(Data!AM62&lt;=QUARTILE(Data!AM$4:AM$195,1),1,IF(Data!AM62&lt;=MEDIAN(Data!AM$4:AM$195),2,IF(Data!AM62&lt;=QUARTILE(Data!AM$4:AM$195,3),3,4)))</f>
        <v>3</v>
      </c>
      <c r="AN62" s="15">
        <f>IF(Data!AN62&lt;=QUARTILE(Data!AN$4:AN$195,1),1,IF(Data!AN62&lt;=MEDIAN(Data!AN$4:AN$195),2,IF(Data!AN62&lt;=QUARTILE(Data!AN$4:AN$195,3),3,4)))</f>
        <v>2</v>
      </c>
      <c r="AO62" s="14">
        <f>IF(Data!AO62&lt;=QUARTILE(Data!AO$4:AO$195,1),1,IF(Data!AO62&lt;=MEDIAN(Data!AO$4:AO$195),2,IF(Data!AO62&lt;=QUARTILE(Data!AO$4:AO$195,3),3,4)))</f>
        <v>3</v>
      </c>
      <c r="AP62" s="19">
        <f>IF(Data!AP62&lt;=QUARTILE(Data!AP$4:AP$195,1),1,IF(Data!AP62&lt;=MEDIAN(Data!AP$4:AP$195),2,IF(Data!AP62&lt;=QUARTILE(Data!AP$4:AP$195,3),3,4)))</f>
        <v>3</v>
      </c>
      <c r="AQ62" s="19">
        <f>IF(Data!AQ62&lt;=QUARTILE(Data!AQ$4:AQ$195,1),1,IF(Data!AQ62&lt;=MEDIAN(Data!AQ$4:AQ$195),2,IF(Data!AQ62&lt;=QUARTILE(Data!AQ$4:AQ$195,3),3,4)))</f>
        <v>3</v>
      </c>
      <c r="AR62" s="19">
        <f>IF(Data!AR62&lt;=QUARTILE(Data!AR$4:AR$195,1),1,IF(Data!AR62&lt;=MEDIAN(Data!AR$4:AR$195),2,IF(Data!AR62&lt;=QUARTILE(Data!AR$4:AR$195,3),3,4)))</f>
        <v>3</v>
      </c>
      <c r="AS62" s="19">
        <f>IF(Data!AS62&lt;=QUARTILE(Data!AS$4:AS$195,1),1,IF(Data!AS62&lt;=MEDIAN(Data!AS$4:AS$195),2,IF(Data!AS62&lt;=QUARTILE(Data!AS$4:AS$195,3),3,4)))</f>
        <v>2</v>
      </c>
      <c r="AT62" s="19">
        <f>IF(Data!AT62&lt;=QUARTILE(Data!AT$4:AT$195,1),1,IF(Data!AT62&lt;=MEDIAN(Data!AT$4:AT$195),2,IF(Data!AT62&lt;=QUARTILE(Data!AT$4:AT$195,3),3,4)))</f>
        <v>1</v>
      </c>
      <c r="AU62" s="15">
        <f>IF(Data!AU62&lt;=QUARTILE(Data!AU$4:AU$195,1),1,IF(Data!AU62&lt;=MEDIAN(Data!AU$4:AU$195),2,IF(Data!AU62&lt;=QUARTILE(Data!AU$4:AU$195,3),3,4)))</f>
        <v>1</v>
      </c>
      <c r="AV62" s="14">
        <f>IF(Data!AV62&lt;=QUARTILE(Data!AV$4:AV$195,1),1,IF(Data!AV62&lt;=MEDIAN(Data!AV$4:AV$195),2,IF(Data!AV62&lt;=QUARTILE(Data!AV$4:AV$195,3),3,4)))</f>
        <v>3</v>
      </c>
      <c r="AW62" s="19">
        <f>IF(Data!AW62&lt;=QUARTILE(Data!AW$4:AW$195,1),1,IF(Data!AW62&lt;=MEDIAN(Data!AW$4:AW$195),2,IF(Data!AW62&lt;=QUARTILE(Data!AW$4:AW$195,3),3,4)))</f>
        <v>2</v>
      </c>
      <c r="AX62" s="19">
        <f>IF(Data!AX62&lt;=QUARTILE(Data!AX$4:AX$195,1),1,IF(Data!AX62&lt;=MEDIAN(Data!AX$4:AX$195),2,IF(Data!AX62&lt;=QUARTILE(Data!AX$4:AX$195,3),3,4)))</f>
        <v>3</v>
      </c>
      <c r="AY62" s="15">
        <f>IF(Data!AY62&lt;=QUARTILE(Data!AY$4:AY$195,1),1,IF(Data!AY62&lt;=MEDIAN(Data!AY$4:AY$195),2,IF(Data!AY62&lt;=QUARTILE(Data!AY$4:AY$195,3),3,4)))</f>
        <v>3</v>
      </c>
      <c r="AZ62" s="14">
        <f>IF(Data!AZ62&lt;=QUARTILE(Data!AZ$4:AZ$195,1),1,IF(Data!AZ62&lt;=MEDIAN(Data!AZ$4:AZ$195),2,IF(Data!AZ62&lt;=QUARTILE(Data!AZ$4:AZ$195,3),3,4)))</f>
        <v>1</v>
      </c>
      <c r="BA62" s="15">
        <f>IF(Data!BA62&lt;=QUARTILE(Data!BA$4:BA$195,1),1,IF(Data!BA62&lt;=MEDIAN(Data!BA$4:BA$195),2,IF(Data!BA62&lt;=QUARTILE(Data!BA$4:BA$195,3),3,4)))</f>
        <v>1</v>
      </c>
    </row>
    <row r="63" spans="1:53" x14ac:dyDescent="0.25">
      <c r="A63" s="4" t="s">
        <v>33</v>
      </c>
      <c r="B63" s="40">
        <v>2008</v>
      </c>
      <c r="C63" s="14">
        <v>4</v>
      </c>
      <c r="D63" s="19">
        <v>12</v>
      </c>
      <c r="E63" s="74" t="s">
        <v>96</v>
      </c>
      <c r="F63" s="19">
        <v>-7.6</v>
      </c>
      <c r="G63" s="19">
        <v>-4.9000000000000004</v>
      </c>
      <c r="H63" s="15">
        <v>-2.8</v>
      </c>
      <c r="I63" s="14">
        <f>IF(Data!I63&lt;=QUARTILE(Data!I$4:I$195,1),1,IF(Data!I63&lt;=MEDIAN(Data!I$4:I$195),2,IF(Data!I63&lt;=QUARTILE(Data!I$4:I$195,3),3,4)))</f>
        <v>2</v>
      </c>
      <c r="J63" s="19">
        <f>IF(Data!J63&lt;=QUARTILE(Data!J$4:J$195,1),1,IF(Data!J63&lt;=MEDIAN(Data!J$4:J$195),2,IF(Data!J63&lt;=QUARTILE(Data!J$4:J$195,3),3,4)))</f>
        <v>1</v>
      </c>
      <c r="K63" s="19">
        <f>IF(Data!K63&lt;=QUARTILE(Data!K$4:K$195,1),1,IF(Data!K63&lt;=MEDIAN(Data!K$4:K$195),2,IF(Data!K63&lt;=QUARTILE(Data!K$4:K$195,3),3,4)))</f>
        <v>1</v>
      </c>
      <c r="L63" s="15">
        <f>IF(Data!L63&lt;=QUARTILE(Data!L$4:L$195,1),1,IF(Data!L63&lt;=MEDIAN(Data!L$4:L$195),2,IF(Data!L63&lt;=QUARTILE(Data!L$4:L$195,3),3,4)))</f>
        <v>1</v>
      </c>
      <c r="M63" s="14">
        <f>IF(Data!M63&lt;=QUARTILE(Data!M$4:M$195,1),1,IF(Data!M63&lt;=MEDIAN(Data!M$4:M$195),2,IF(Data!M63&lt;=QUARTILE(Data!M$4:M$195,3),3,4)))</f>
        <v>1</v>
      </c>
      <c r="N63" s="19">
        <f>IF(Data!N63&lt;=QUARTILE(Data!N$4:N$195,1),1,IF(Data!N63&lt;=MEDIAN(Data!N$4:N$195),2,IF(Data!N63&lt;=QUARTILE(Data!N$4:N$195,3),3,4)))</f>
        <v>1</v>
      </c>
      <c r="O63" s="19">
        <f>IF(Data!O63&lt;=QUARTILE(Data!O$4:O$195,1),1,IF(Data!O63&lt;=MEDIAN(Data!O$4:O$195),2,IF(Data!O63&lt;=QUARTILE(Data!O$4:O$195,3),3,4)))</f>
        <v>1</v>
      </c>
      <c r="P63" s="19">
        <f>IF(Data!P63&lt;=QUARTILE(Data!P$4:P$195,1),1,IF(Data!P63&lt;=MEDIAN(Data!P$4:P$195),2,IF(Data!P63&lt;=QUARTILE(Data!P$4:P$195,3),3,4)))</f>
        <v>2</v>
      </c>
      <c r="Q63" s="19">
        <f>IF(Data!Q63&lt;=QUARTILE(Data!Q$4:Q$195,1),1,IF(Data!Q63&lt;=MEDIAN(Data!Q$4:Q$195),2,IF(Data!Q63&lt;=QUARTILE(Data!Q$4:Q$195,3),3,4)))</f>
        <v>1</v>
      </c>
      <c r="R63" s="19">
        <f>IF(Data!R63&lt;=QUARTILE(Data!R$4:R$195,1),1,IF(Data!R63&lt;=MEDIAN(Data!R$4:R$195),2,IF(Data!R63&lt;=QUARTILE(Data!R$4:R$195,3),3,4)))</f>
        <v>1</v>
      </c>
      <c r="S63" s="19">
        <f>IF(Data!S63&lt;=QUARTILE(Data!S$4:S$195,1),1,IF(Data!S63&lt;=MEDIAN(Data!S$4:S$195),2,IF(Data!S63&lt;=QUARTILE(Data!S$4:S$195,3),3,4)))</f>
        <v>3</v>
      </c>
      <c r="T63" s="15">
        <f>IF(Data!T63&lt;=QUARTILE(Data!T$4:T$195,1),1,IF(Data!T63&lt;=MEDIAN(Data!T$4:T$195),2,IF(Data!T63&lt;=QUARTILE(Data!T$4:T$195,3),3,4)))</f>
        <v>2</v>
      </c>
      <c r="U63" s="14">
        <f>IF(Data!U63&lt;=QUARTILE(Data!U$4:U$195,1),1,IF(Data!U63&lt;=MEDIAN(Data!U$4:U$195),2,IF(Data!U63&lt;=QUARTILE(Data!U$4:U$195,3),3,4)))</f>
        <v>2</v>
      </c>
      <c r="V63" s="19">
        <f>IF(Data!V63&lt;=QUARTILE(Data!V$4:V$195,1),1,IF(Data!V63&lt;=MEDIAN(Data!V$4:V$195),2,IF(Data!V63&lt;=QUARTILE(Data!V$4:V$195,3),3,4)))</f>
        <v>2</v>
      </c>
      <c r="W63" s="19">
        <f>IF(Data!W63&lt;=QUARTILE(Data!W$4:W$195,1),1,IF(Data!W63&lt;=MEDIAN(Data!W$4:W$195),2,IF(Data!W63&lt;=QUARTILE(Data!W$4:W$195,3),3,4)))</f>
        <v>2</v>
      </c>
      <c r="X63" s="15">
        <f>IF(Data!X63&lt;=QUARTILE(Data!X$4:X$195,1),1,IF(Data!X63&lt;=MEDIAN(Data!X$4:X$195),2,IF(Data!X63&lt;=QUARTILE(Data!X$4:X$195,3),3,4)))</f>
        <v>3</v>
      </c>
      <c r="Y63" s="14">
        <f>IF(Data!Y63&lt;=QUARTILE(Data!Y$4:Y$195,1),1,IF(Data!Y63&lt;=MEDIAN(Data!Y$4:Y$195),2,IF(Data!Y63&lt;=QUARTILE(Data!Y$4:Y$195,3),3,4)))</f>
        <v>2</v>
      </c>
      <c r="Z63" s="15">
        <f>IF(Data!Z63&lt;=QUARTILE(Data!Z$4:Z$195,1),1,IF(Data!Z63&lt;=MEDIAN(Data!Z$4:Z$195),2,IF(Data!Z63&lt;=QUARTILE(Data!Z$4:Z$195,3),3,4)))</f>
        <v>4</v>
      </c>
      <c r="AA63" s="14">
        <f>IF(Data!AA63&lt;=QUARTILE(Data!AA$4:AA$195,1),1,IF(Data!AA63&lt;=MEDIAN(Data!AA$4:AA$195),2,IF(Data!AA63&lt;=QUARTILE(Data!AA$4:AA$195,3),3,4)))</f>
        <v>2</v>
      </c>
      <c r="AB63" s="15">
        <f>IF(Data!AB63&lt;=QUARTILE(Data!AB$4:AB$195,1),1,IF(Data!AB63&lt;=MEDIAN(Data!AB$4:AB$195),2,IF(Data!AB63&lt;=QUARTILE(Data!AB$4:AB$195,3),3,4)))</f>
        <v>3</v>
      </c>
      <c r="AC63" s="14">
        <f>IF(Data!AC63&lt;=QUARTILE(Data!AC$4:AC$195,1),1,IF(Data!AC63&lt;=MEDIAN(Data!AC$4:AC$195),2,IF(Data!AC63&lt;=QUARTILE(Data!AC$4:AC$195,3),3,4)))</f>
        <v>4</v>
      </c>
      <c r="AD63" s="15">
        <f>IF(Data!AD63&lt;=QUARTILE(Data!AD$4:AD$195,1),1,IF(Data!AD63&lt;=MEDIAN(Data!AD$4:AD$195),2,IF(Data!AD63&lt;=QUARTILE(Data!AD$4:AD$195,3),3,4)))</f>
        <v>4</v>
      </c>
      <c r="AE63" s="4">
        <f>IF(Data!AE63&lt;=QUARTILE(Data!AE$4:AE$195,1),1,IF(Data!AE63&lt;=MEDIAN(Data!AE$4:AE$195),2,IF(Data!AE63&lt;=QUARTILE(Data!AE$4:AE$195,3),3,4)))</f>
        <v>2</v>
      </c>
      <c r="AF63" s="3">
        <f>IF(Data!AF63&lt;=QUARTILE(Data!AF$4:AF$195,1),1,IF(Data!AF63&lt;=MEDIAN(Data!AF$4:AF$195),2,IF(Data!AF63&lt;=QUARTILE(Data!AF$4:AF$195,3),3,4)))</f>
        <v>2</v>
      </c>
      <c r="AG63" s="3">
        <f>IF(Data!AG63&lt;=QUARTILE(Data!AG$4:AG$195,1),1,IF(Data!AG63&lt;=MEDIAN(Data!AG$4:AG$195),2,IF(Data!AG63&lt;=QUARTILE(Data!AG$4:AG$195,3),3,4)))</f>
        <v>2</v>
      </c>
      <c r="AH63" s="3">
        <f>IF(Data!AH63&lt;=QUARTILE(Data!AH$4:AH$195,1),1,IF(Data!AH63&lt;=MEDIAN(Data!AH$4:AH$195),2,IF(Data!AH63&lt;=QUARTILE(Data!AH$4:AH$195,3),3,4)))</f>
        <v>2</v>
      </c>
      <c r="AI63" s="14">
        <f>IF(Data!AI63&lt;=QUARTILE(Data!AI$4:AI$195,1),1,IF(Data!AI63&lt;=MEDIAN(Data!AI$4:AI$195),2,IF(Data!AI63&lt;=QUARTILE(Data!AI$4:AI$195,3),3,4)))</f>
        <v>4</v>
      </c>
      <c r="AJ63" s="15">
        <f>IF(Data!AJ63&lt;=QUARTILE(Data!AJ$4:AJ$195,1),1,IF(Data!AJ63&lt;=MEDIAN(Data!AJ$4:AJ$195),2,IF(Data!AJ63&lt;=QUARTILE(Data!AJ$4:AJ$195,3),3,4)))</f>
        <v>4</v>
      </c>
      <c r="AK63" s="14">
        <f>IF(Data!AK63&lt;=QUARTILE(Data!AK$4:AK$195,1),1,IF(Data!AK63&lt;=MEDIAN(Data!AK$4:AK$195),2,IF(Data!AK63&lt;=QUARTILE(Data!AK$4:AK$195,3),3,4)))</f>
        <v>4</v>
      </c>
      <c r="AL63" s="19">
        <f>IF(Data!AL63&lt;=QUARTILE(Data!AL$4:AL$195,1),1,IF(Data!AL63&lt;=MEDIAN(Data!AL$4:AL$195),2,IF(Data!AL63&lt;=QUARTILE(Data!AL$4:AL$195,3),3,4)))</f>
        <v>4</v>
      </c>
      <c r="AM63" s="19">
        <f>IF(Data!AM63&lt;=QUARTILE(Data!AM$4:AM$195,1),1,IF(Data!AM63&lt;=MEDIAN(Data!AM$4:AM$195),2,IF(Data!AM63&lt;=QUARTILE(Data!AM$4:AM$195,3),3,4)))</f>
        <v>4</v>
      </c>
      <c r="AN63" s="15">
        <f>IF(Data!AN63&lt;=QUARTILE(Data!AN$4:AN$195,1),1,IF(Data!AN63&lt;=MEDIAN(Data!AN$4:AN$195),2,IF(Data!AN63&lt;=QUARTILE(Data!AN$4:AN$195,3),3,4)))</f>
        <v>4</v>
      </c>
      <c r="AO63" s="14">
        <f>IF(Data!AO63&lt;=QUARTILE(Data!AO$4:AO$195,1),1,IF(Data!AO63&lt;=MEDIAN(Data!AO$4:AO$195),2,IF(Data!AO63&lt;=QUARTILE(Data!AO$4:AO$195,3),3,4)))</f>
        <v>4</v>
      </c>
      <c r="AP63" s="19">
        <f>IF(Data!AP63&lt;=QUARTILE(Data!AP$4:AP$195,1),1,IF(Data!AP63&lt;=MEDIAN(Data!AP$4:AP$195),2,IF(Data!AP63&lt;=QUARTILE(Data!AP$4:AP$195,3),3,4)))</f>
        <v>4</v>
      </c>
      <c r="AQ63" s="19">
        <f>IF(Data!AQ63&lt;=QUARTILE(Data!AQ$4:AQ$195,1),1,IF(Data!AQ63&lt;=MEDIAN(Data!AQ$4:AQ$195),2,IF(Data!AQ63&lt;=QUARTILE(Data!AQ$4:AQ$195,3),3,4)))</f>
        <v>4</v>
      </c>
      <c r="AR63" s="19">
        <f>IF(Data!AR63&lt;=QUARTILE(Data!AR$4:AR$195,1),1,IF(Data!AR63&lt;=MEDIAN(Data!AR$4:AR$195),2,IF(Data!AR63&lt;=QUARTILE(Data!AR$4:AR$195,3),3,4)))</f>
        <v>3</v>
      </c>
      <c r="AS63" s="19">
        <f>IF(Data!AS63&lt;=QUARTILE(Data!AS$4:AS$195,1),1,IF(Data!AS63&lt;=MEDIAN(Data!AS$4:AS$195),2,IF(Data!AS63&lt;=QUARTILE(Data!AS$4:AS$195,3),3,4)))</f>
        <v>4</v>
      </c>
      <c r="AT63" s="19">
        <f>IF(Data!AT63&lt;=QUARTILE(Data!AT$4:AT$195,1),1,IF(Data!AT63&lt;=MEDIAN(Data!AT$4:AT$195),2,IF(Data!AT63&lt;=QUARTILE(Data!AT$4:AT$195,3),3,4)))</f>
        <v>2</v>
      </c>
      <c r="AU63" s="15">
        <f>IF(Data!AU63&lt;=QUARTILE(Data!AU$4:AU$195,1),1,IF(Data!AU63&lt;=MEDIAN(Data!AU$4:AU$195),2,IF(Data!AU63&lt;=QUARTILE(Data!AU$4:AU$195,3),3,4)))</f>
        <v>2</v>
      </c>
      <c r="AV63" s="14">
        <f>IF(Data!AV63&lt;=QUARTILE(Data!AV$4:AV$195,1),1,IF(Data!AV63&lt;=MEDIAN(Data!AV$4:AV$195),2,IF(Data!AV63&lt;=QUARTILE(Data!AV$4:AV$195,3),3,4)))</f>
        <v>3</v>
      </c>
      <c r="AW63" s="19">
        <f>IF(Data!AW63&lt;=QUARTILE(Data!AW$4:AW$195,1),1,IF(Data!AW63&lt;=MEDIAN(Data!AW$4:AW$195),2,IF(Data!AW63&lt;=QUARTILE(Data!AW$4:AW$195,3),3,4)))</f>
        <v>3</v>
      </c>
      <c r="AX63" s="19">
        <f>IF(Data!AX63&lt;=QUARTILE(Data!AX$4:AX$195,1),1,IF(Data!AX63&lt;=MEDIAN(Data!AX$4:AX$195),2,IF(Data!AX63&lt;=QUARTILE(Data!AX$4:AX$195,3),3,4)))</f>
        <v>2</v>
      </c>
      <c r="AY63" s="15">
        <f>IF(Data!AY63&lt;=QUARTILE(Data!AY$4:AY$195,1),1,IF(Data!AY63&lt;=MEDIAN(Data!AY$4:AY$195),2,IF(Data!AY63&lt;=QUARTILE(Data!AY$4:AY$195,3),3,4)))</f>
        <v>2</v>
      </c>
      <c r="AZ63" s="14">
        <f>IF(Data!AZ63&lt;=QUARTILE(Data!AZ$4:AZ$195,1),1,IF(Data!AZ63&lt;=MEDIAN(Data!AZ$4:AZ$195),2,IF(Data!AZ63&lt;=QUARTILE(Data!AZ$4:AZ$195,3),3,4)))</f>
        <v>1</v>
      </c>
      <c r="BA63" s="15">
        <f>IF(Data!BA63&lt;=QUARTILE(Data!BA$4:BA$195,1),1,IF(Data!BA63&lt;=MEDIAN(Data!BA$4:BA$195),2,IF(Data!BA63&lt;=QUARTILE(Data!BA$4:BA$195,3),3,4)))</f>
        <v>2</v>
      </c>
    </row>
    <row r="64" spans="1:53" x14ac:dyDescent="0.25">
      <c r="A64" s="4" t="s">
        <v>34</v>
      </c>
      <c r="B64" s="40">
        <v>2008</v>
      </c>
      <c r="C64" s="14">
        <v>2</v>
      </c>
      <c r="D64" s="19">
        <v>14</v>
      </c>
      <c r="E64" s="74" t="s">
        <v>96</v>
      </c>
      <c r="F64" s="19">
        <v>-15.1</v>
      </c>
      <c r="G64" s="19">
        <v>-8.1</v>
      </c>
      <c r="H64" s="15">
        <v>-7</v>
      </c>
      <c r="I64" s="14">
        <f>IF(Data!I64&lt;=QUARTILE(Data!I$4:I$195,1),1,IF(Data!I64&lt;=MEDIAN(Data!I$4:I$195),2,IF(Data!I64&lt;=QUARTILE(Data!I$4:I$195,3),3,4)))</f>
        <v>1</v>
      </c>
      <c r="J64" s="19">
        <f>IF(Data!J64&lt;=QUARTILE(Data!J$4:J$195,1),1,IF(Data!J64&lt;=MEDIAN(Data!J$4:J$195),2,IF(Data!J64&lt;=QUARTILE(Data!J$4:J$195,3),3,4)))</f>
        <v>1</v>
      </c>
      <c r="K64" s="19">
        <f>IF(Data!K64&lt;=QUARTILE(Data!K$4:K$195,1),1,IF(Data!K64&lt;=MEDIAN(Data!K$4:K$195),2,IF(Data!K64&lt;=QUARTILE(Data!K$4:K$195,3),3,4)))</f>
        <v>2</v>
      </c>
      <c r="L64" s="15">
        <f>IF(Data!L64&lt;=QUARTILE(Data!L$4:L$195,1),1,IF(Data!L64&lt;=MEDIAN(Data!L$4:L$195),2,IF(Data!L64&lt;=QUARTILE(Data!L$4:L$195,3),3,4)))</f>
        <v>1</v>
      </c>
      <c r="M64" s="14">
        <f>IF(Data!M64&lt;=QUARTILE(Data!M$4:M$195,1),1,IF(Data!M64&lt;=MEDIAN(Data!M$4:M$195),2,IF(Data!M64&lt;=QUARTILE(Data!M$4:M$195,3),3,4)))</f>
        <v>2</v>
      </c>
      <c r="N64" s="19">
        <f>IF(Data!N64&lt;=QUARTILE(Data!N$4:N$195,1),1,IF(Data!N64&lt;=MEDIAN(Data!N$4:N$195),2,IF(Data!N64&lt;=QUARTILE(Data!N$4:N$195,3),3,4)))</f>
        <v>2</v>
      </c>
      <c r="O64" s="19">
        <f>IF(Data!O64&lt;=QUARTILE(Data!O$4:O$195,1),1,IF(Data!O64&lt;=MEDIAN(Data!O$4:O$195),2,IF(Data!O64&lt;=QUARTILE(Data!O$4:O$195,3),3,4)))</f>
        <v>2</v>
      </c>
      <c r="P64" s="19">
        <f>IF(Data!P64&lt;=QUARTILE(Data!P$4:P$195,1),1,IF(Data!P64&lt;=MEDIAN(Data!P$4:P$195),2,IF(Data!P64&lt;=QUARTILE(Data!P$4:P$195,3),3,4)))</f>
        <v>1</v>
      </c>
      <c r="Q64" s="19">
        <f>IF(Data!Q64&lt;=QUARTILE(Data!Q$4:Q$195,1),1,IF(Data!Q64&lt;=MEDIAN(Data!Q$4:Q$195),2,IF(Data!Q64&lt;=QUARTILE(Data!Q$4:Q$195,3),3,4)))</f>
        <v>1</v>
      </c>
      <c r="R64" s="19">
        <f>IF(Data!R64&lt;=QUARTILE(Data!R$4:R$195,1),1,IF(Data!R64&lt;=MEDIAN(Data!R$4:R$195),2,IF(Data!R64&lt;=QUARTILE(Data!R$4:R$195,3),3,4)))</f>
        <v>1</v>
      </c>
      <c r="S64" s="19">
        <f>IF(Data!S64&lt;=QUARTILE(Data!S$4:S$195,1),1,IF(Data!S64&lt;=MEDIAN(Data!S$4:S$195),2,IF(Data!S64&lt;=QUARTILE(Data!S$4:S$195,3),3,4)))</f>
        <v>4</v>
      </c>
      <c r="T64" s="15">
        <f>IF(Data!T64&lt;=QUARTILE(Data!T$4:T$195,1),1,IF(Data!T64&lt;=MEDIAN(Data!T$4:T$195),2,IF(Data!T64&lt;=QUARTILE(Data!T$4:T$195,3),3,4)))</f>
        <v>4</v>
      </c>
      <c r="U64" s="14">
        <f>IF(Data!U64&lt;=QUARTILE(Data!U$4:U$195,1),1,IF(Data!U64&lt;=MEDIAN(Data!U$4:U$195),2,IF(Data!U64&lt;=QUARTILE(Data!U$4:U$195,3),3,4)))</f>
        <v>2</v>
      </c>
      <c r="V64" s="19">
        <f>IF(Data!V64&lt;=QUARTILE(Data!V$4:V$195,1),1,IF(Data!V64&lt;=MEDIAN(Data!V$4:V$195),2,IF(Data!V64&lt;=QUARTILE(Data!V$4:V$195,3),3,4)))</f>
        <v>2</v>
      </c>
      <c r="W64" s="19">
        <f>IF(Data!W64&lt;=QUARTILE(Data!W$4:W$195,1),1,IF(Data!W64&lt;=MEDIAN(Data!W$4:W$195),2,IF(Data!W64&lt;=QUARTILE(Data!W$4:W$195,3),3,4)))</f>
        <v>1</v>
      </c>
      <c r="X64" s="15">
        <f>IF(Data!X64&lt;=QUARTILE(Data!X$4:X$195,1),1,IF(Data!X64&lt;=MEDIAN(Data!X$4:X$195),2,IF(Data!X64&lt;=QUARTILE(Data!X$4:X$195,3),3,4)))</f>
        <v>2</v>
      </c>
      <c r="Y64" s="14">
        <f>IF(Data!Y64&lt;=QUARTILE(Data!Y$4:Y$195,1),1,IF(Data!Y64&lt;=MEDIAN(Data!Y$4:Y$195),2,IF(Data!Y64&lt;=QUARTILE(Data!Y$4:Y$195,3),3,4)))</f>
        <v>3</v>
      </c>
      <c r="Z64" s="15">
        <f>IF(Data!Z64&lt;=QUARTILE(Data!Z$4:Z$195,1),1,IF(Data!Z64&lt;=MEDIAN(Data!Z$4:Z$195),2,IF(Data!Z64&lt;=QUARTILE(Data!Z$4:Z$195,3),3,4)))</f>
        <v>4</v>
      </c>
      <c r="AA64" s="14">
        <f>IF(Data!AA64&lt;=QUARTILE(Data!AA$4:AA$195,1),1,IF(Data!AA64&lt;=MEDIAN(Data!AA$4:AA$195),2,IF(Data!AA64&lt;=QUARTILE(Data!AA$4:AA$195,3),3,4)))</f>
        <v>1</v>
      </c>
      <c r="AB64" s="15">
        <f>IF(Data!AB64&lt;=QUARTILE(Data!AB$4:AB$195,1),1,IF(Data!AB64&lt;=MEDIAN(Data!AB$4:AB$195),2,IF(Data!AB64&lt;=QUARTILE(Data!AB$4:AB$195,3),3,4)))</f>
        <v>2</v>
      </c>
      <c r="AC64" s="14">
        <f>IF(Data!AC64&lt;=QUARTILE(Data!AC$4:AC$195,1),1,IF(Data!AC64&lt;=MEDIAN(Data!AC$4:AC$195),2,IF(Data!AC64&lt;=QUARTILE(Data!AC$4:AC$195,3),3,4)))</f>
        <v>4</v>
      </c>
      <c r="AD64" s="15">
        <f>IF(Data!AD64&lt;=QUARTILE(Data!AD$4:AD$195,1),1,IF(Data!AD64&lt;=MEDIAN(Data!AD$4:AD$195),2,IF(Data!AD64&lt;=QUARTILE(Data!AD$4:AD$195,3),3,4)))</f>
        <v>4</v>
      </c>
      <c r="AE64" s="4">
        <f>IF(Data!AE64&lt;=QUARTILE(Data!AE$4:AE$195,1),1,IF(Data!AE64&lt;=MEDIAN(Data!AE$4:AE$195),2,IF(Data!AE64&lt;=QUARTILE(Data!AE$4:AE$195,3),3,4)))</f>
        <v>1</v>
      </c>
      <c r="AF64" s="3">
        <f>IF(Data!AF64&lt;=QUARTILE(Data!AF$4:AF$195,1),1,IF(Data!AF64&lt;=MEDIAN(Data!AF$4:AF$195),2,IF(Data!AF64&lt;=QUARTILE(Data!AF$4:AF$195,3),3,4)))</f>
        <v>2</v>
      </c>
      <c r="AG64" s="3">
        <f>IF(Data!AG64&lt;=QUARTILE(Data!AG$4:AG$195,1),1,IF(Data!AG64&lt;=MEDIAN(Data!AG$4:AG$195),2,IF(Data!AG64&lt;=QUARTILE(Data!AG$4:AG$195,3),3,4)))</f>
        <v>4</v>
      </c>
      <c r="AH64" s="3">
        <f>IF(Data!AH64&lt;=QUARTILE(Data!AH$4:AH$195,1),1,IF(Data!AH64&lt;=MEDIAN(Data!AH$4:AH$195),2,IF(Data!AH64&lt;=QUARTILE(Data!AH$4:AH$195,3),3,4)))</f>
        <v>4</v>
      </c>
      <c r="AI64" s="14">
        <f>IF(Data!AI64&lt;=QUARTILE(Data!AI$4:AI$195,1),1,IF(Data!AI64&lt;=MEDIAN(Data!AI$4:AI$195),2,IF(Data!AI64&lt;=QUARTILE(Data!AI$4:AI$195,3),3,4)))</f>
        <v>3</v>
      </c>
      <c r="AJ64" s="15">
        <f>IF(Data!AJ64&lt;=QUARTILE(Data!AJ$4:AJ$195,1),1,IF(Data!AJ64&lt;=MEDIAN(Data!AJ$4:AJ$195),2,IF(Data!AJ64&lt;=QUARTILE(Data!AJ$4:AJ$195,3),3,4)))</f>
        <v>4</v>
      </c>
      <c r="AK64" s="14">
        <f>IF(Data!AK64&lt;=QUARTILE(Data!AK$4:AK$195,1),1,IF(Data!AK64&lt;=MEDIAN(Data!AK$4:AK$195),2,IF(Data!AK64&lt;=QUARTILE(Data!AK$4:AK$195,3),3,4)))</f>
        <v>4</v>
      </c>
      <c r="AL64" s="19">
        <f>IF(Data!AL64&lt;=QUARTILE(Data!AL$4:AL$195,1),1,IF(Data!AL64&lt;=MEDIAN(Data!AL$4:AL$195),2,IF(Data!AL64&lt;=QUARTILE(Data!AL$4:AL$195,3),3,4)))</f>
        <v>4</v>
      </c>
      <c r="AM64" s="19">
        <f>IF(Data!AM64&lt;=QUARTILE(Data!AM$4:AM$195,1),1,IF(Data!AM64&lt;=MEDIAN(Data!AM$4:AM$195),2,IF(Data!AM64&lt;=QUARTILE(Data!AM$4:AM$195,3),3,4)))</f>
        <v>2</v>
      </c>
      <c r="AN64" s="15">
        <f>IF(Data!AN64&lt;=QUARTILE(Data!AN$4:AN$195,1),1,IF(Data!AN64&lt;=MEDIAN(Data!AN$4:AN$195),2,IF(Data!AN64&lt;=QUARTILE(Data!AN$4:AN$195,3),3,4)))</f>
        <v>4</v>
      </c>
      <c r="AO64" s="14">
        <f>IF(Data!AO64&lt;=QUARTILE(Data!AO$4:AO$195,1),1,IF(Data!AO64&lt;=MEDIAN(Data!AO$4:AO$195),2,IF(Data!AO64&lt;=QUARTILE(Data!AO$4:AO$195,3),3,4)))</f>
        <v>1</v>
      </c>
      <c r="AP64" s="19">
        <f>IF(Data!AP64&lt;=QUARTILE(Data!AP$4:AP$195,1),1,IF(Data!AP64&lt;=MEDIAN(Data!AP$4:AP$195),2,IF(Data!AP64&lt;=QUARTILE(Data!AP$4:AP$195,3),3,4)))</f>
        <v>1</v>
      </c>
      <c r="AQ64" s="19">
        <f>IF(Data!AQ64&lt;=QUARTILE(Data!AQ$4:AQ$195,1),1,IF(Data!AQ64&lt;=MEDIAN(Data!AQ$4:AQ$195),2,IF(Data!AQ64&lt;=QUARTILE(Data!AQ$4:AQ$195,3),3,4)))</f>
        <v>3</v>
      </c>
      <c r="AR64" s="19">
        <f>IF(Data!AR64&lt;=QUARTILE(Data!AR$4:AR$195,1),1,IF(Data!AR64&lt;=MEDIAN(Data!AR$4:AR$195),2,IF(Data!AR64&lt;=QUARTILE(Data!AR$4:AR$195,3),3,4)))</f>
        <v>2</v>
      </c>
      <c r="AS64" s="19">
        <f>IF(Data!AS64&lt;=QUARTILE(Data!AS$4:AS$195,1),1,IF(Data!AS64&lt;=MEDIAN(Data!AS$4:AS$195),2,IF(Data!AS64&lt;=QUARTILE(Data!AS$4:AS$195,3),3,4)))</f>
        <v>1</v>
      </c>
      <c r="AT64" s="19">
        <f>IF(Data!AT64&lt;=QUARTILE(Data!AT$4:AT$195,1),1,IF(Data!AT64&lt;=MEDIAN(Data!AT$4:AT$195),2,IF(Data!AT64&lt;=QUARTILE(Data!AT$4:AT$195,3),3,4)))</f>
        <v>1</v>
      </c>
      <c r="AU64" s="15">
        <f>IF(Data!AU64&lt;=QUARTILE(Data!AU$4:AU$195,1),1,IF(Data!AU64&lt;=MEDIAN(Data!AU$4:AU$195),2,IF(Data!AU64&lt;=QUARTILE(Data!AU$4:AU$195,3),3,4)))</f>
        <v>2</v>
      </c>
      <c r="AV64" s="14">
        <f>IF(Data!AV64&lt;=QUARTILE(Data!AV$4:AV$195,1),1,IF(Data!AV64&lt;=MEDIAN(Data!AV$4:AV$195),2,IF(Data!AV64&lt;=QUARTILE(Data!AV$4:AV$195,3),3,4)))</f>
        <v>4</v>
      </c>
      <c r="AW64" s="19">
        <f>IF(Data!AW64&lt;=QUARTILE(Data!AW$4:AW$195,1),1,IF(Data!AW64&lt;=MEDIAN(Data!AW$4:AW$195),2,IF(Data!AW64&lt;=QUARTILE(Data!AW$4:AW$195,3),3,4)))</f>
        <v>4</v>
      </c>
      <c r="AX64" s="19">
        <f>IF(Data!AX64&lt;=QUARTILE(Data!AX$4:AX$195,1),1,IF(Data!AX64&lt;=MEDIAN(Data!AX$4:AX$195),2,IF(Data!AX64&lt;=QUARTILE(Data!AX$4:AX$195,3),3,4)))</f>
        <v>4</v>
      </c>
      <c r="AY64" s="15">
        <f>IF(Data!AY64&lt;=QUARTILE(Data!AY$4:AY$195,1),1,IF(Data!AY64&lt;=MEDIAN(Data!AY$4:AY$195),2,IF(Data!AY64&lt;=QUARTILE(Data!AY$4:AY$195,3),3,4)))</f>
        <v>4</v>
      </c>
      <c r="AZ64" s="14">
        <f>IF(Data!AZ64&lt;=QUARTILE(Data!AZ$4:AZ$195,1),1,IF(Data!AZ64&lt;=MEDIAN(Data!AZ$4:AZ$195),2,IF(Data!AZ64&lt;=QUARTILE(Data!AZ$4:AZ$195,3),3,4)))</f>
        <v>1</v>
      </c>
      <c r="BA64" s="15">
        <f>IF(Data!BA64&lt;=QUARTILE(Data!BA$4:BA$195,1),1,IF(Data!BA64&lt;=MEDIAN(Data!BA$4:BA$195),2,IF(Data!BA64&lt;=QUARTILE(Data!BA$4:BA$195,3),3,4)))</f>
        <v>3</v>
      </c>
    </row>
    <row r="65" spans="1:53" x14ac:dyDescent="0.25">
      <c r="A65" s="4" t="s">
        <v>30</v>
      </c>
      <c r="B65" s="40">
        <v>2008</v>
      </c>
      <c r="C65" s="14">
        <v>9</v>
      </c>
      <c r="D65" s="19">
        <v>7</v>
      </c>
      <c r="E65" s="74" t="s">
        <v>96</v>
      </c>
      <c r="F65" s="19">
        <v>2.2999999999999998</v>
      </c>
      <c r="G65" s="19">
        <v>-0.6</v>
      </c>
      <c r="H65" s="15">
        <v>2.9</v>
      </c>
      <c r="I65" s="14">
        <f>IF(Data!I65&lt;=QUARTILE(Data!I$4:I$195,1),1,IF(Data!I65&lt;=MEDIAN(Data!I$4:I$195),2,IF(Data!I65&lt;=QUARTILE(Data!I$4:I$195,3),3,4)))</f>
        <v>3</v>
      </c>
      <c r="J65" s="19">
        <f>IF(Data!J65&lt;=QUARTILE(Data!J$4:J$195,1),1,IF(Data!J65&lt;=MEDIAN(Data!J$4:J$195),2,IF(Data!J65&lt;=QUARTILE(Data!J$4:J$195,3),3,4)))</f>
        <v>3</v>
      </c>
      <c r="K65" s="19">
        <f>IF(Data!K65&lt;=QUARTILE(Data!K$4:K$195,1),1,IF(Data!K65&lt;=MEDIAN(Data!K$4:K$195),2,IF(Data!K65&lt;=QUARTILE(Data!K$4:K$195,3),3,4)))</f>
        <v>4</v>
      </c>
      <c r="L65" s="15">
        <f>IF(Data!L65&lt;=QUARTILE(Data!L$4:L$195,1),1,IF(Data!L65&lt;=MEDIAN(Data!L$4:L$195),2,IF(Data!L65&lt;=QUARTILE(Data!L$4:L$195,3),3,4)))</f>
        <v>3</v>
      </c>
      <c r="M65" s="14">
        <f>IF(Data!M65&lt;=QUARTILE(Data!M$4:M$195,1),1,IF(Data!M65&lt;=MEDIAN(Data!M$4:M$195),2,IF(Data!M65&lt;=QUARTILE(Data!M$4:M$195,3),3,4)))</f>
        <v>4</v>
      </c>
      <c r="N65" s="19">
        <f>IF(Data!N65&lt;=QUARTILE(Data!N$4:N$195,1),1,IF(Data!N65&lt;=MEDIAN(Data!N$4:N$195),2,IF(Data!N65&lt;=QUARTILE(Data!N$4:N$195,3),3,4)))</f>
        <v>4</v>
      </c>
      <c r="O65" s="19">
        <f>IF(Data!O65&lt;=QUARTILE(Data!O$4:O$195,1),1,IF(Data!O65&lt;=MEDIAN(Data!O$4:O$195),2,IF(Data!O65&lt;=QUARTILE(Data!O$4:O$195,3),3,4)))</f>
        <v>3</v>
      </c>
      <c r="P65" s="19">
        <f>IF(Data!P65&lt;=QUARTILE(Data!P$4:P$195,1),1,IF(Data!P65&lt;=MEDIAN(Data!P$4:P$195),2,IF(Data!P65&lt;=QUARTILE(Data!P$4:P$195,3),3,4)))</f>
        <v>2</v>
      </c>
      <c r="Q65" s="19">
        <f>IF(Data!Q65&lt;=QUARTILE(Data!Q$4:Q$195,1),1,IF(Data!Q65&lt;=MEDIAN(Data!Q$4:Q$195),2,IF(Data!Q65&lt;=QUARTILE(Data!Q$4:Q$195,3),3,4)))</f>
        <v>3</v>
      </c>
      <c r="R65" s="19">
        <f>IF(Data!R65&lt;=QUARTILE(Data!R$4:R$195,1),1,IF(Data!R65&lt;=MEDIAN(Data!R$4:R$195),2,IF(Data!R65&lt;=QUARTILE(Data!R$4:R$195,3),3,4)))</f>
        <v>3</v>
      </c>
      <c r="S65" s="19">
        <f>IF(Data!S65&lt;=QUARTILE(Data!S$4:S$195,1),1,IF(Data!S65&lt;=MEDIAN(Data!S$4:S$195),2,IF(Data!S65&lt;=QUARTILE(Data!S$4:S$195,3),3,4)))</f>
        <v>2</v>
      </c>
      <c r="T65" s="15">
        <f>IF(Data!T65&lt;=QUARTILE(Data!T$4:T$195,1),1,IF(Data!T65&lt;=MEDIAN(Data!T$4:T$195),2,IF(Data!T65&lt;=QUARTILE(Data!T$4:T$195,3),3,4)))</f>
        <v>2</v>
      </c>
      <c r="U65" s="14">
        <f>IF(Data!U65&lt;=QUARTILE(Data!U$4:U$195,1),1,IF(Data!U65&lt;=MEDIAN(Data!U$4:U$195),2,IF(Data!U65&lt;=QUARTILE(Data!U$4:U$195,3),3,4)))</f>
        <v>3</v>
      </c>
      <c r="V65" s="19">
        <f>IF(Data!V65&lt;=QUARTILE(Data!V$4:V$195,1),1,IF(Data!V65&lt;=MEDIAN(Data!V$4:V$195),2,IF(Data!V65&lt;=QUARTILE(Data!V$4:V$195,3),3,4)))</f>
        <v>3</v>
      </c>
      <c r="W65" s="19">
        <f>IF(Data!W65&lt;=QUARTILE(Data!W$4:W$195,1),1,IF(Data!W65&lt;=MEDIAN(Data!W$4:W$195),2,IF(Data!W65&lt;=QUARTILE(Data!W$4:W$195,3),3,4)))</f>
        <v>2</v>
      </c>
      <c r="X65" s="15">
        <f>IF(Data!X65&lt;=QUARTILE(Data!X$4:X$195,1),1,IF(Data!X65&lt;=MEDIAN(Data!X$4:X$195),2,IF(Data!X65&lt;=QUARTILE(Data!X$4:X$195,3),3,4)))</f>
        <v>3</v>
      </c>
      <c r="Y65" s="14">
        <f>IF(Data!Y65&lt;=QUARTILE(Data!Y$4:Y$195,1),1,IF(Data!Y65&lt;=MEDIAN(Data!Y$4:Y$195),2,IF(Data!Y65&lt;=QUARTILE(Data!Y$4:Y$195,3),3,4)))</f>
        <v>1</v>
      </c>
      <c r="Z65" s="15">
        <f>IF(Data!Z65&lt;=QUARTILE(Data!Z$4:Z$195,1),1,IF(Data!Z65&lt;=MEDIAN(Data!Z$4:Z$195),2,IF(Data!Z65&lt;=QUARTILE(Data!Z$4:Z$195,3),3,4)))</f>
        <v>4</v>
      </c>
      <c r="AA65" s="14">
        <f>IF(Data!AA65&lt;=QUARTILE(Data!AA$4:AA$195,1),1,IF(Data!AA65&lt;=MEDIAN(Data!AA$4:AA$195),2,IF(Data!AA65&lt;=QUARTILE(Data!AA$4:AA$195,3),3,4)))</f>
        <v>4</v>
      </c>
      <c r="AB65" s="15">
        <f>IF(Data!AB65&lt;=QUARTILE(Data!AB$4:AB$195,1),1,IF(Data!AB65&lt;=MEDIAN(Data!AB$4:AB$195),2,IF(Data!AB65&lt;=QUARTILE(Data!AB$4:AB$195,3),3,4)))</f>
        <v>4</v>
      </c>
      <c r="AC65" s="14">
        <f>IF(Data!AC65&lt;=QUARTILE(Data!AC$4:AC$195,1),1,IF(Data!AC65&lt;=MEDIAN(Data!AC$4:AC$195),2,IF(Data!AC65&lt;=QUARTILE(Data!AC$4:AC$195,3),3,4)))</f>
        <v>2</v>
      </c>
      <c r="AD65" s="15">
        <f>IF(Data!AD65&lt;=QUARTILE(Data!AD$4:AD$195,1),1,IF(Data!AD65&lt;=MEDIAN(Data!AD$4:AD$195),2,IF(Data!AD65&lt;=QUARTILE(Data!AD$4:AD$195,3),3,4)))</f>
        <v>3</v>
      </c>
      <c r="AE65" s="4">
        <f>IF(Data!AE65&lt;=QUARTILE(Data!AE$4:AE$195,1),1,IF(Data!AE65&lt;=MEDIAN(Data!AE$4:AE$195),2,IF(Data!AE65&lt;=QUARTILE(Data!AE$4:AE$195,3),3,4)))</f>
        <v>4</v>
      </c>
      <c r="AF65" s="3">
        <f>IF(Data!AF65&lt;=QUARTILE(Data!AF$4:AF$195,1),1,IF(Data!AF65&lt;=MEDIAN(Data!AF$4:AF$195),2,IF(Data!AF65&lt;=QUARTILE(Data!AF$4:AF$195,3),3,4)))</f>
        <v>4</v>
      </c>
      <c r="AG65" s="3">
        <f>IF(Data!AG65&lt;=QUARTILE(Data!AG$4:AG$195,1),1,IF(Data!AG65&lt;=MEDIAN(Data!AG$4:AG$195),2,IF(Data!AG65&lt;=QUARTILE(Data!AG$4:AG$195,3),3,4)))</f>
        <v>2</v>
      </c>
      <c r="AH65" s="3">
        <f>IF(Data!AH65&lt;=QUARTILE(Data!AH$4:AH$195,1),1,IF(Data!AH65&lt;=MEDIAN(Data!AH$4:AH$195),2,IF(Data!AH65&lt;=QUARTILE(Data!AH$4:AH$195,3),3,4)))</f>
        <v>1</v>
      </c>
      <c r="AI65" s="14">
        <f>IF(Data!AI65&lt;=QUARTILE(Data!AI$4:AI$195,1),1,IF(Data!AI65&lt;=MEDIAN(Data!AI$4:AI$195),2,IF(Data!AI65&lt;=QUARTILE(Data!AI$4:AI$195,3),3,4)))</f>
        <v>2</v>
      </c>
      <c r="AJ65" s="15">
        <f>IF(Data!AJ65&lt;=QUARTILE(Data!AJ$4:AJ$195,1),1,IF(Data!AJ65&lt;=MEDIAN(Data!AJ$4:AJ$195),2,IF(Data!AJ65&lt;=QUARTILE(Data!AJ$4:AJ$195,3),3,4)))</f>
        <v>3</v>
      </c>
      <c r="AK65" s="14">
        <f>IF(Data!AK65&lt;=QUARTILE(Data!AK$4:AK$195,1),1,IF(Data!AK65&lt;=MEDIAN(Data!AK$4:AK$195),2,IF(Data!AK65&lt;=QUARTILE(Data!AK$4:AK$195,3),3,4)))</f>
        <v>2</v>
      </c>
      <c r="AL65" s="19">
        <f>IF(Data!AL65&lt;=QUARTILE(Data!AL$4:AL$195,1),1,IF(Data!AL65&lt;=MEDIAN(Data!AL$4:AL$195),2,IF(Data!AL65&lt;=QUARTILE(Data!AL$4:AL$195,3),3,4)))</f>
        <v>2</v>
      </c>
      <c r="AM65" s="19">
        <f>IF(Data!AM65&lt;=QUARTILE(Data!AM$4:AM$195,1),1,IF(Data!AM65&lt;=MEDIAN(Data!AM$4:AM$195),2,IF(Data!AM65&lt;=QUARTILE(Data!AM$4:AM$195,3),3,4)))</f>
        <v>1</v>
      </c>
      <c r="AN65" s="15">
        <f>IF(Data!AN65&lt;=QUARTILE(Data!AN$4:AN$195,1),1,IF(Data!AN65&lt;=MEDIAN(Data!AN$4:AN$195),2,IF(Data!AN65&lt;=QUARTILE(Data!AN$4:AN$195,3),3,4)))</f>
        <v>1</v>
      </c>
      <c r="AO65" s="14">
        <f>IF(Data!AO65&lt;=QUARTILE(Data!AO$4:AO$195,1),1,IF(Data!AO65&lt;=MEDIAN(Data!AO$4:AO$195),2,IF(Data!AO65&lt;=QUARTILE(Data!AO$4:AO$195,3),3,4)))</f>
        <v>1</v>
      </c>
      <c r="AP65" s="19">
        <f>IF(Data!AP65&lt;=QUARTILE(Data!AP$4:AP$195,1),1,IF(Data!AP65&lt;=MEDIAN(Data!AP$4:AP$195),2,IF(Data!AP65&lt;=QUARTILE(Data!AP$4:AP$195,3),3,4)))</f>
        <v>1</v>
      </c>
      <c r="AQ65" s="19">
        <f>IF(Data!AQ65&lt;=QUARTILE(Data!AQ$4:AQ$195,1),1,IF(Data!AQ65&lt;=MEDIAN(Data!AQ$4:AQ$195),2,IF(Data!AQ65&lt;=QUARTILE(Data!AQ$4:AQ$195,3),3,4)))</f>
        <v>1</v>
      </c>
      <c r="AR65" s="19">
        <f>IF(Data!AR65&lt;=QUARTILE(Data!AR$4:AR$195,1),1,IF(Data!AR65&lt;=MEDIAN(Data!AR$4:AR$195),2,IF(Data!AR65&lt;=QUARTILE(Data!AR$4:AR$195,3),3,4)))</f>
        <v>3</v>
      </c>
      <c r="AS65" s="19">
        <f>IF(Data!AS65&lt;=QUARTILE(Data!AS$4:AS$195,1),1,IF(Data!AS65&lt;=MEDIAN(Data!AS$4:AS$195),2,IF(Data!AS65&lt;=QUARTILE(Data!AS$4:AS$195,3),3,4)))</f>
        <v>1</v>
      </c>
      <c r="AT65" s="19">
        <f>IF(Data!AT65&lt;=QUARTILE(Data!AT$4:AT$195,1),1,IF(Data!AT65&lt;=MEDIAN(Data!AT$4:AT$195),2,IF(Data!AT65&lt;=QUARTILE(Data!AT$4:AT$195,3),3,4)))</f>
        <v>1</v>
      </c>
      <c r="AU65" s="15">
        <f>IF(Data!AU65&lt;=QUARTILE(Data!AU$4:AU$195,1),1,IF(Data!AU65&lt;=MEDIAN(Data!AU$4:AU$195),2,IF(Data!AU65&lt;=QUARTILE(Data!AU$4:AU$195,3),3,4)))</f>
        <v>1</v>
      </c>
      <c r="AV65" s="14">
        <f>IF(Data!AV65&lt;=QUARTILE(Data!AV$4:AV$195,1),1,IF(Data!AV65&lt;=MEDIAN(Data!AV$4:AV$195),2,IF(Data!AV65&lt;=QUARTILE(Data!AV$4:AV$195,3),3,4)))</f>
        <v>2</v>
      </c>
      <c r="AW65" s="19">
        <f>IF(Data!AW65&lt;=QUARTILE(Data!AW$4:AW$195,1),1,IF(Data!AW65&lt;=MEDIAN(Data!AW$4:AW$195),2,IF(Data!AW65&lt;=QUARTILE(Data!AW$4:AW$195,3),3,4)))</f>
        <v>3</v>
      </c>
      <c r="AX65" s="19">
        <f>IF(Data!AX65&lt;=QUARTILE(Data!AX$4:AX$195,1),1,IF(Data!AX65&lt;=MEDIAN(Data!AX$4:AX$195),2,IF(Data!AX65&lt;=QUARTILE(Data!AX$4:AX$195,3),3,4)))</f>
        <v>1</v>
      </c>
      <c r="AY65" s="15">
        <f>IF(Data!AY65&lt;=QUARTILE(Data!AY$4:AY$195,1),1,IF(Data!AY65&lt;=MEDIAN(Data!AY$4:AY$195),2,IF(Data!AY65&lt;=QUARTILE(Data!AY$4:AY$195,3),3,4)))</f>
        <v>2</v>
      </c>
      <c r="AZ65" s="14">
        <f>IF(Data!AZ65&lt;=QUARTILE(Data!AZ$4:AZ$195,1),1,IF(Data!AZ65&lt;=MEDIAN(Data!AZ$4:AZ$195),2,IF(Data!AZ65&lt;=QUARTILE(Data!AZ$4:AZ$195,3),3,4)))</f>
        <v>4</v>
      </c>
      <c r="BA65" s="15">
        <f>IF(Data!BA65&lt;=QUARTILE(Data!BA$4:BA$195,1),1,IF(Data!BA65&lt;=MEDIAN(Data!BA$4:BA$195),2,IF(Data!BA65&lt;=QUARTILE(Data!BA$4:BA$195,3),3,4)))</f>
        <v>1</v>
      </c>
    </row>
    <row r="66" spans="1:53" x14ac:dyDescent="0.25">
      <c r="A66" s="4" t="s">
        <v>13</v>
      </c>
      <c r="B66" s="40">
        <v>2008</v>
      </c>
      <c r="C66" s="14">
        <v>13</v>
      </c>
      <c r="D66" s="19">
        <v>3</v>
      </c>
      <c r="E66" s="74" t="s">
        <v>97</v>
      </c>
      <c r="F66" s="19">
        <v>8.9</v>
      </c>
      <c r="G66" s="19">
        <v>1.5</v>
      </c>
      <c r="H66" s="15">
        <v>7.5</v>
      </c>
      <c r="I66" s="14">
        <f>IF(Data!I66&lt;=QUARTILE(Data!I$4:I$195,1),1,IF(Data!I66&lt;=MEDIAN(Data!I$4:I$195),2,IF(Data!I66&lt;=QUARTILE(Data!I$4:I$195,3),3,4)))</f>
        <v>3</v>
      </c>
      <c r="J66" s="19">
        <f>IF(Data!J66&lt;=QUARTILE(Data!J$4:J$195,1),1,IF(Data!J66&lt;=MEDIAN(Data!J$4:J$195),2,IF(Data!J66&lt;=QUARTILE(Data!J$4:J$195,3),3,4)))</f>
        <v>2</v>
      </c>
      <c r="K66" s="19">
        <f>IF(Data!K66&lt;=QUARTILE(Data!K$4:K$195,1),1,IF(Data!K66&lt;=MEDIAN(Data!K$4:K$195),2,IF(Data!K66&lt;=QUARTILE(Data!K$4:K$195,3),3,4)))</f>
        <v>2</v>
      </c>
      <c r="L66" s="15">
        <f>IF(Data!L66&lt;=QUARTILE(Data!L$4:L$195,1),1,IF(Data!L66&lt;=MEDIAN(Data!L$4:L$195),2,IF(Data!L66&lt;=QUARTILE(Data!L$4:L$195,3),3,4)))</f>
        <v>1</v>
      </c>
      <c r="M66" s="14">
        <f>IF(Data!M66&lt;=QUARTILE(Data!M$4:M$195,1),1,IF(Data!M66&lt;=MEDIAN(Data!M$4:M$195),2,IF(Data!M66&lt;=QUARTILE(Data!M$4:M$195,3),3,4)))</f>
        <v>1</v>
      </c>
      <c r="N66" s="19">
        <f>IF(Data!N66&lt;=QUARTILE(Data!N$4:N$195,1),1,IF(Data!N66&lt;=MEDIAN(Data!N$4:N$195),2,IF(Data!N66&lt;=QUARTILE(Data!N$4:N$195,3),3,4)))</f>
        <v>1</v>
      </c>
      <c r="O66" s="19">
        <f>IF(Data!O66&lt;=QUARTILE(Data!O$4:O$195,1),1,IF(Data!O66&lt;=MEDIAN(Data!O$4:O$195),2,IF(Data!O66&lt;=QUARTILE(Data!O$4:O$195,3),3,4)))</f>
        <v>1</v>
      </c>
      <c r="P66" s="19">
        <f>IF(Data!P66&lt;=QUARTILE(Data!P$4:P$195,1),1,IF(Data!P66&lt;=MEDIAN(Data!P$4:P$195),2,IF(Data!P66&lt;=QUARTILE(Data!P$4:P$195,3),3,4)))</f>
        <v>1</v>
      </c>
      <c r="Q66" s="19">
        <f>IF(Data!Q66&lt;=QUARTILE(Data!Q$4:Q$195,1),1,IF(Data!Q66&lt;=MEDIAN(Data!Q$4:Q$195),2,IF(Data!Q66&lt;=QUARTILE(Data!Q$4:Q$195,3),3,4)))</f>
        <v>1</v>
      </c>
      <c r="R66" s="19">
        <f>IF(Data!R66&lt;=QUARTILE(Data!R$4:R$195,1),1,IF(Data!R66&lt;=MEDIAN(Data!R$4:R$195),2,IF(Data!R66&lt;=QUARTILE(Data!R$4:R$195,3),3,4)))</f>
        <v>2</v>
      </c>
      <c r="S66" s="19">
        <f>IF(Data!S66&lt;=QUARTILE(Data!S$4:S$195,1),1,IF(Data!S66&lt;=MEDIAN(Data!S$4:S$195),2,IF(Data!S66&lt;=QUARTILE(Data!S$4:S$195,3),3,4)))</f>
        <v>1</v>
      </c>
      <c r="T66" s="15">
        <f>IF(Data!T66&lt;=QUARTILE(Data!T$4:T$195,1),1,IF(Data!T66&lt;=MEDIAN(Data!T$4:T$195),2,IF(Data!T66&lt;=QUARTILE(Data!T$4:T$195,3),3,4)))</f>
        <v>1</v>
      </c>
      <c r="U66" s="14">
        <f>IF(Data!U66&lt;=QUARTILE(Data!U$4:U$195,1),1,IF(Data!U66&lt;=MEDIAN(Data!U$4:U$195),2,IF(Data!U66&lt;=QUARTILE(Data!U$4:U$195,3),3,4)))</f>
        <v>4</v>
      </c>
      <c r="V66" s="19">
        <f>IF(Data!V66&lt;=QUARTILE(Data!V$4:V$195,1),1,IF(Data!V66&lt;=MEDIAN(Data!V$4:V$195),2,IF(Data!V66&lt;=QUARTILE(Data!V$4:V$195,3),3,4)))</f>
        <v>4</v>
      </c>
      <c r="W66" s="19">
        <f>IF(Data!W66&lt;=QUARTILE(Data!W$4:W$195,1),1,IF(Data!W66&lt;=MEDIAN(Data!W$4:W$195),2,IF(Data!W66&lt;=QUARTILE(Data!W$4:W$195,3),3,4)))</f>
        <v>4</v>
      </c>
      <c r="X66" s="15">
        <f>IF(Data!X66&lt;=QUARTILE(Data!X$4:X$195,1),1,IF(Data!X66&lt;=MEDIAN(Data!X$4:X$195),2,IF(Data!X66&lt;=QUARTILE(Data!X$4:X$195,3),3,4)))</f>
        <v>3</v>
      </c>
      <c r="Y66" s="14">
        <f>IF(Data!Y66&lt;=QUARTILE(Data!Y$4:Y$195,1),1,IF(Data!Y66&lt;=MEDIAN(Data!Y$4:Y$195),2,IF(Data!Y66&lt;=QUARTILE(Data!Y$4:Y$195,3),3,4)))</f>
        <v>1</v>
      </c>
      <c r="Z66" s="15">
        <f>IF(Data!Z66&lt;=QUARTILE(Data!Z$4:Z$195,1),1,IF(Data!Z66&lt;=MEDIAN(Data!Z$4:Z$195),2,IF(Data!Z66&lt;=QUARTILE(Data!Z$4:Z$195,3),3,4)))</f>
        <v>4</v>
      </c>
      <c r="AA66" s="14">
        <f>IF(Data!AA66&lt;=QUARTILE(Data!AA$4:AA$195,1),1,IF(Data!AA66&lt;=MEDIAN(Data!AA$4:AA$195),2,IF(Data!AA66&lt;=QUARTILE(Data!AA$4:AA$195,3),3,4)))</f>
        <v>2</v>
      </c>
      <c r="AB66" s="15">
        <f>IF(Data!AB66&lt;=QUARTILE(Data!AB$4:AB$195,1),1,IF(Data!AB66&lt;=MEDIAN(Data!AB$4:AB$195),2,IF(Data!AB66&lt;=QUARTILE(Data!AB$4:AB$195,3),3,4)))</f>
        <v>3</v>
      </c>
      <c r="AC66" s="14">
        <f>IF(Data!AC66&lt;=QUARTILE(Data!AC$4:AC$195,1),1,IF(Data!AC66&lt;=MEDIAN(Data!AC$4:AC$195),2,IF(Data!AC66&lt;=QUARTILE(Data!AC$4:AC$195,3),3,4)))</f>
        <v>1</v>
      </c>
      <c r="AD66" s="15">
        <f>IF(Data!AD66&lt;=QUARTILE(Data!AD$4:AD$195,1),1,IF(Data!AD66&lt;=MEDIAN(Data!AD$4:AD$195),2,IF(Data!AD66&lt;=QUARTILE(Data!AD$4:AD$195,3),3,4)))</f>
        <v>2</v>
      </c>
      <c r="AE66" s="4">
        <f>IF(Data!AE66&lt;=QUARTILE(Data!AE$4:AE$195,1),1,IF(Data!AE66&lt;=MEDIAN(Data!AE$4:AE$195),2,IF(Data!AE66&lt;=QUARTILE(Data!AE$4:AE$195,3),3,4)))</f>
        <v>1</v>
      </c>
      <c r="AF66" s="3">
        <f>IF(Data!AF66&lt;=QUARTILE(Data!AF$4:AF$195,1),1,IF(Data!AF66&lt;=MEDIAN(Data!AF$4:AF$195),2,IF(Data!AF66&lt;=QUARTILE(Data!AF$4:AF$195,3),3,4)))</f>
        <v>1</v>
      </c>
      <c r="AG66" s="3">
        <f>IF(Data!AG66&lt;=QUARTILE(Data!AG$4:AG$195,1),1,IF(Data!AG66&lt;=MEDIAN(Data!AG$4:AG$195),2,IF(Data!AG66&lt;=QUARTILE(Data!AG$4:AG$195,3),3,4)))</f>
        <v>4</v>
      </c>
      <c r="AH66" s="3">
        <f>IF(Data!AH66&lt;=QUARTILE(Data!AH$4:AH$195,1),1,IF(Data!AH66&lt;=MEDIAN(Data!AH$4:AH$195),2,IF(Data!AH66&lt;=QUARTILE(Data!AH$4:AH$195,3),3,4)))</f>
        <v>4</v>
      </c>
      <c r="AI66" s="14">
        <f>IF(Data!AI66&lt;=QUARTILE(Data!AI$4:AI$195,1),1,IF(Data!AI66&lt;=MEDIAN(Data!AI$4:AI$195),2,IF(Data!AI66&lt;=QUARTILE(Data!AI$4:AI$195,3),3,4)))</f>
        <v>4</v>
      </c>
      <c r="AJ66" s="15">
        <f>IF(Data!AJ66&lt;=QUARTILE(Data!AJ$4:AJ$195,1),1,IF(Data!AJ66&lt;=MEDIAN(Data!AJ$4:AJ$195),2,IF(Data!AJ66&lt;=QUARTILE(Data!AJ$4:AJ$195,3),3,4)))</f>
        <v>4</v>
      </c>
      <c r="AK66" s="14">
        <f>IF(Data!AK66&lt;=QUARTILE(Data!AK$4:AK$195,1),1,IF(Data!AK66&lt;=MEDIAN(Data!AK$4:AK$195),2,IF(Data!AK66&lt;=QUARTILE(Data!AK$4:AK$195,3),3,4)))</f>
        <v>1</v>
      </c>
      <c r="AL66" s="19">
        <f>IF(Data!AL66&lt;=QUARTILE(Data!AL$4:AL$195,1),1,IF(Data!AL66&lt;=MEDIAN(Data!AL$4:AL$195),2,IF(Data!AL66&lt;=QUARTILE(Data!AL$4:AL$195,3),3,4)))</f>
        <v>1</v>
      </c>
      <c r="AM66" s="19">
        <f>IF(Data!AM66&lt;=QUARTILE(Data!AM$4:AM$195,1),1,IF(Data!AM66&lt;=MEDIAN(Data!AM$4:AM$195),2,IF(Data!AM66&lt;=QUARTILE(Data!AM$4:AM$195,3),3,4)))</f>
        <v>3</v>
      </c>
      <c r="AN66" s="15">
        <f>IF(Data!AN66&lt;=QUARTILE(Data!AN$4:AN$195,1),1,IF(Data!AN66&lt;=MEDIAN(Data!AN$4:AN$195),2,IF(Data!AN66&lt;=QUARTILE(Data!AN$4:AN$195,3),3,4)))</f>
        <v>1</v>
      </c>
      <c r="AO66" s="14">
        <f>IF(Data!AO66&lt;=QUARTILE(Data!AO$4:AO$195,1),1,IF(Data!AO66&lt;=MEDIAN(Data!AO$4:AO$195),2,IF(Data!AO66&lt;=QUARTILE(Data!AO$4:AO$195,3),3,4)))</f>
        <v>4</v>
      </c>
      <c r="AP66" s="19">
        <f>IF(Data!AP66&lt;=QUARTILE(Data!AP$4:AP$195,1),1,IF(Data!AP66&lt;=MEDIAN(Data!AP$4:AP$195),2,IF(Data!AP66&lt;=QUARTILE(Data!AP$4:AP$195,3),3,4)))</f>
        <v>4</v>
      </c>
      <c r="AQ66" s="19">
        <f>IF(Data!AQ66&lt;=QUARTILE(Data!AQ$4:AQ$195,1),1,IF(Data!AQ66&lt;=MEDIAN(Data!AQ$4:AQ$195),2,IF(Data!AQ66&lt;=QUARTILE(Data!AQ$4:AQ$195,3),3,4)))</f>
        <v>2</v>
      </c>
      <c r="AR66" s="19">
        <f>IF(Data!AR66&lt;=QUARTILE(Data!AR$4:AR$195,1),1,IF(Data!AR66&lt;=MEDIAN(Data!AR$4:AR$195),2,IF(Data!AR66&lt;=QUARTILE(Data!AR$4:AR$195,3),3,4)))</f>
        <v>1</v>
      </c>
      <c r="AS66" s="19">
        <f>IF(Data!AS66&lt;=QUARTILE(Data!AS$4:AS$195,1),1,IF(Data!AS66&lt;=MEDIAN(Data!AS$4:AS$195),2,IF(Data!AS66&lt;=QUARTILE(Data!AS$4:AS$195,3),3,4)))</f>
        <v>2</v>
      </c>
      <c r="AT66" s="19">
        <f>IF(Data!AT66&lt;=QUARTILE(Data!AT$4:AT$195,1),1,IF(Data!AT66&lt;=MEDIAN(Data!AT$4:AT$195),2,IF(Data!AT66&lt;=QUARTILE(Data!AT$4:AT$195,3),3,4)))</f>
        <v>4</v>
      </c>
      <c r="AU66" s="15">
        <f>IF(Data!AU66&lt;=QUARTILE(Data!AU$4:AU$195,1),1,IF(Data!AU66&lt;=MEDIAN(Data!AU$4:AU$195),2,IF(Data!AU66&lt;=QUARTILE(Data!AU$4:AU$195,3),3,4)))</f>
        <v>3</v>
      </c>
      <c r="AV66" s="14">
        <f>IF(Data!AV66&lt;=QUARTILE(Data!AV$4:AV$195,1),1,IF(Data!AV66&lt;=MEDIAN(Data!AV$4:AV$195),2,IF(Data!AV66&lt;=QUARTILE(Data!AV$4:AV$195,3),3,4)))</f>
        <v>1</v>
      </c>
      <c r="AW66" s="19">
        <f>IF(Data!AW66&lt;=QUARTILE(Data!AW$4:AW$195,1),1,IF(Data!AW66&lt;=MEDIAN(Data!AW$4:AW$195),2,IF(Data!AW66&lt;=QUARTILE(Data!AW$4:AW$195,3),3,4)))</f>
        <v>1</v>
      </c>
      <c r="AX66" s="19">
        <f>IF(Data!AX66&lt;=QUARTILE(Data!AX$4:AX$195,1),1,IF(Data!AX66&lt;=MEDIAN(Data!AX$4:AX$195),2,IF(Data!AX66&lt;=QUARTILE(Data!AX$4:AX$195,3),3,4)))</f>
        <v>2</v>
      </c>
      <c r="AY66" s="15">
        <f>IF(Data!AY66&lt;=QUARTILE(Data!AY$4:AY$195,1),1,IF(Data!AY66&lt;=MEDIAN(Data!AY$4:AY$195),2,IF(Data!AY66&lt;=QUARTILE(Data!AY$4:AY$195,3),3,4)))</f>
        <v>1</v>
      </c>
      <c r="AZ66" s="14">
        <f>IF(Data!AZ66&lt;=QUARTILE(Data!AZ$4:AZ$195,1),1,IF(Data!AZ66&lt;=MEDIAN(Data!AZ$4:AZ$195),2,IF(Data!AZ66&lt;=QUARTILE(Data!AZ$4:AZ$195,3),3,4)))</f>
        <v>4</v>
      </c>
      <c r="BA66" s="15">
        <f>IF(Data!BA66&lt;=QUARTILE(Data!BA$4:BA$195,1),1,IF(Data!BA66&lt;=MEDIAN(Data!BA$4:BA$195),2,IF(Data!BA66&lt;=QUARTILE(Data!BA$4:BA$195,3),3,4)))</f>
        <v>2</v>
      </c>
    </row>
    <row r="67" spans="1:53" ht="15.75" thickBot="1" x14ac:dyDescent="0.3">
      <c r="A67" s="6" t="s">
        <v>22</v>
      </c>
      <c r="B67" s="41">
        <v>2008</v>
      </c>
      <c r="C67" s="16">
        <v>8</v>
      </c>
      <c r="D67" s="20">
        <v>8</v>
      </c>
      <c r="E67" s="75" t="s">
        <v>96</v>
      </c>
      <c r="F67" s="20">
        <v>-1.8</v>
      </c>
      <c r="G67" s="20">
        <v>-5.8</v>
      </c>
      <c r="H67" s="17">
        <v>4.0999999999999996</v>
      </c>
      <c r="I67" s="16">
        <f>IF(Data!I67&lt;=QUARTILE(Data!I$4:I$195,1),1,IF(Data!I67&lt;=MEDIAN(Data!I$4:I$195),2,IF(Data!I67&lt;=QUARTILE(Data!I$4:I$195,3),3,4)))</f>
        <v>1</v>
      </c>
      <c r="J67" s="20">
        <f>IF(Data!J67&lt;=QUARTILE(Data!J$4:J$195,1),1,IF(Data!J67&lt;=MEDIAN(Data!J$4:J$195),2,IF(Data!J67&lt;=QUARTILE(Data!J$4:J$195,3),3,4)))</f>
        <v>2</v>
      </c>
      <c r="K67" s="20">
        <f>IF(Data!K67&lt;=QUARTILE(Data!K$4:K$195,1),1,IF(Data!K67&lt;=MEDIAN(Data!K$4:K$195),2,IF(Data!K67&lt;=QUARTILE(Data!K$4:K$195,3),3,4)))</f>
        <v>3</v>
      </c>
      <c r="L67" s="17">
        <f>IF(Data!L67&lt;=QUARTILE(Data!L$4:L$195,1),1,IF(Data!L67&lt;=MEDIAN(Data!L$4:L$195),2,IF(Data!L67&lt;=QUARTILE(Data!L$4:L$195,3),3,4)))</f>
        <v>2</v>
      </c>
      <c r="M67" s="16">
        <f>IF(Data!M67&lt;=QUARTILE(Data!M$4:M$195,1),1,IF(Data!M67&lt;=MEDIAN(Data!M$4:M$195),2,IF(Data!M67&lt;=QUARTILE(Data!M$4:M$195,3),3,4)))</f>
        <v>3</v>
      </c>
      <c r="N67" s="20">
        <f>IF(Data!N67&lt;=QUARTILE(Data!N$4:N$195,1),1,IF(Data!N67&lt;=MEDIAN(Data!N$4:N$195),2,IF(Data!N67&lt;=QUARTILE(Data!N$4:N$195,3),3,4)))</f>
        <v>2</v>
      </c>
      <c r="O67" s="20">
        <f>IF(Data!O67&lt;=QUARTILE(Data!O$4:O$195,1),1,IF(Data!O67&lt;=MEDIAN(Data!O$4:O$195),2,IF(Data!O67&lt;=QUARTILE(Data!O$4:O$195,3),3,4)))</f>
        <v>2</v>
      </c>
      <c r="P67" s="20">
        <f>IF(Data!P67&lt;=QUARTILE(Data!P$4:P$195,1),1,IF(Data!P67&lt;=MEDIAN(Data!P$4:P$195),2,IF(Data!P67&lt;=QUARTILE(Data!P$4:P$195,3),3,4)))</f>
        <v>1</v>
      </c>
      <c r="Q67" s="20">
        <f>IF(Data!Q67&lt;=QUARTILE(Data!Q$4:Q$195,1),1,IF(Data!Q67&lt;=MEDIAN(Data!Q$4:Q$195),2,IF(Data!Q67&lt;=QUARTILE(Data!Q$4:Q$195,3),3,4)))</f>
        <v>2</v>
      </c>
      <c r="R67" s="20">
        <f>IF(Data!R67&lt;=QUARTILE(Data!R$4:R$195,1),1,IF(Data!R67&lt;=MEDIAN(Data!R$4:R$195),2,IF(Data!R67&lt;=QUARTILE(Data!R$4:R$195,3),3,4)))</f>
        <v>3</v>
      </c>
      <c r="S67" s="20">
        <f>IF(Data!S67&lt;=QUARTILE(Data!S$4:S$195,1),1,IF(Data!S67&lt;=MEDIAN(Data!S$4:S$195),2,IF(Data!S67&lt;=QUARTILE(Data!S$4:S$195,3),3,4)))</f>
        <v>3</v>
      </c>
      <c r="T67" s="17">
        <f>IF(Data!T67&lt;=QUARTILE(Data!T$4:T$195,1),1,IF(Data!T67&lt;=MEDIAN(Data!T$4:T$195),2,IF(Data!T67&lt;=QUARTILE(Data!T$4:T$195,3),3,4)))</f>
        <v>3</v>
      </c>
      <c r="U67" s="16">
        <f>IF(Data!U67&lt;=QUARTILE(Data!U$4:U$195,1),1,IF(Data!U67&lt;=MEDIAN(Data!U$4:U$195),2,IF(Data!U67&lt;=QUARTILE(Data!U$4:U$195,3),3,4)))</f>
        <v>3</v>
      </c>
      <c r="V67" s="20">
        <f>IF(Data!V67&lt;=QUARTILE(Data!V$4:V$195,1),1,IF(Data!V67&lt;=MEDIAN(Data!V$4:V$195),2,IF(Data!V67&lt;=QUARTILE(Data!V$4:V$195,3),3,4)))</f>
        <v>4</v>
      </c>
      <c r="W67" s="20">
        <f>IF(Data!W67&lt;=QUARTILE(Data!W$4:W$195,1),1,IF(Data!W67&lt;=MEDIAN(Data!W$4:W$195),2,IF(Data!W67&lt;=QUARTILE(Data!W$4:W$195,3),3,4)))</f>
        <v>2</v>
      </c>
      <c r="X67" s="17">
        <f>IF(Data!X67&lt;=QUARTILE(Data!X$4:X$195,1),1,IF(Data!X67&lt;=MEDIAN(Data!X$4:X$195),2,IF(Data!X67&lt;=QUARTILE(Data!X$4:X$195,3),3,4)))</f>
        <v>3</v>
      </c>
      <c r="Y67" s="16">
        <f>IF(Data!Y67&lt;=QUARTILE(Data!Y$4:Y$195,1),1,IF(Data!Y67&lt;=MEDIAN(Data!Y$4:Y$195),2,IF(Data!Y67&lt;=QUARTILE(Data!Y$4:Y$195,3),3,4)))</f>
        <v>1</v>
      </c>
      <c r="Z67" s="17">
        <f>IF(Data!Z67&lt;=QUARTILE(Data!Z$4:Z$195,1),1,IF(Data!Z67&lt;=MEDIAN(Data!Z$4:Z$195),2,IF(Data!Z67&lt;=QUARTILE(Data!Z$4:Z$195,3),3,4)))</f>
        <v>4</v>
      </c>
      <c r="AA67" s="16">
        <f>IF(Data!AA67&lt;=QUARTILE(Data!AA$4:AA$195,1),1,IF(Data!AA67&lt;=MEDIAN(Data!AA$4:AA$195),2,IF(Data!AA67&lt;=QUARTILE(Data!AA$4:AA$195,3),3,4)))</f>
        <v>4</v>
      </c>
      <c r="AB67" s="17">
        <f>IF(Data!AB67&lt;=QUARTILE(Data!AB$4:AB$195,1),1,IF(Data!AB67&lt;=MEDIAN(Data!AB$4:AB$195),2,IF(Data!AB67&lt;=QUARTILE(Data!AB$4:AB$195,3),3,4)))</f>
        <v>3</v>
      </c>
      <c r="AC67" s="16">
        <f>IF(Data!AC67&lt;=QUARTILE(Data!AC$4:AC$195,1),1,IF(Data!AC67&lt;=MEDIAN(Data!AC$4:AC$195),2,IF(Data!AC67&lt;=QUARTILE(Data!AC$4:AC$195,3),3,4)))</f>
        <v>1</v>
      </c>
      <c r="AD67" s="17">
        <f>IF(Data!AD67&lt;=QUARTILE(Data!AD$4:AD$195,1),1,IF(Data!AD67&lt;=MEDIAN(Data!AD$4:AD$195),2,IF(Data!AD67&lt;=QUARTILE(Data!AD$4:AD$195,3),3,4)))</f>
        <v>2</v>
      </c>
      <c r="AE67" s="6">
        <f>IF(Data!AE67&lt;=QUARTILE(Data!AE$4:AE$195,1),1,IF(Data!AE67&lt;=MEDIAN(Data!AE$4:AE$195),2,IF(Data!AE67&lt;=QUARTILE(Data!AE$4:AE$195,3),3,4)))</f>
        <v>2</v>
      </c>
      <c r="AF67" s="8">
        <f>IF(Data!AF67&lt;=QUARTILE(Data!AF$4:AF$195,1),1,IF(Data!AF67&lt;=MEDIAN(Data!AF$4:AF$195),2,IF(Data!AF67&lt;=QUARTILE(Data!AF$4:AF$195,3),3,4)))</f>
        <v>2</v>
      </c>
      <c r="AG67" s="8">
        <f>IF(Data!AG67&lt;=QUARTILE(Data!AG$4:AG$195,1),1,IF(Data!AG67&lt;=MEDIAN(Data!AG$4:AG$195),2,IF(Data!AG67&lt;=QUARTILE(Data!AG$4:AG$195,3),3,4)))</f>
        <v>4</v>
      </c>
      <c r="AH67" s="8">
        <f>IF(Data!AH67&lt;=QUARTILE(Data!AH$4:AH$195,1),1,IF(Data!AH67&lt;=MEDIAN(Data!AH$4:AH$195),2,IF(Data!AH67&lt;=QUARTILE(Data!AH$4:AH$195,3),3,4)))</f>
        <v>4</v>
      </c>
      <c r="AI67" s="16">
        <f>IF(Data!AI67&lt;=QUARTILE(Data!AI$4:AI$195,1),1,IF(Data!AI67&lt;=MEDIAN(Data!AI$4:AI$195),2,IF(Data!AI67&lt;=QUARTILE(Data!AI$4:AI$195,3),3,4)))</f>
        <v>3</v>
      </c>
      <c r="AJ67" s="17">
        <f>IF(Data!AJ67&lt;=QUARTILE(Data!AJ$4:AJ$195,1),1,IF(Data!AJ67&lt;=MEDIAN(Data!AJ$4:AJ$195),2,IF(Data!AJ67&lt;=QUARTILE(Data!AJ$4:AJ$195,3),3,4)))</f>
        <v>3</v>
      </c>
      <c r="AK67" s="16">
        <f>IF(Data!AK67&lt;=QUARTILE(Data!AK$4:AK$195,1),1,IF(Data!AK67&lt;=MEDIAN(Data!AK$4:AK$195),2,IF(Data!AK67&lt;=QUARTILE(Data!AK$4:AK$195,3),3,4)))</f>
        <v>1</v>
      </c>
      <c r="AL67" s="20">
        <f>IF(Data!AL67&lt;=QUARTILE(Data!AL$4:AL$195,1),1,IF(Data!AL67&lt;=MEDIAN(Data!AL$4:AL$195),2,IF(Data!AL67&lt;=QUARTILE(Data!AL$4:AL$195,3),3,4)))</f>
        <v>1</v>
      </c>
      <c r="AM67" s="20">
        <f>IF(Data!AM67&lt;=QUARTILE(Data!AM$4:AM$195,1),1,IF(Data!AM67&lt;=MEDIAN(Data!AM$4:AM$195),2,IF(Data!AM67&lt;=QUARTILE(Data!AM$4:AM$195,3),3,4)))</f>
        <v>1</v>
      </c>
      <c r="AN67" s="17">
        <f>IF(Data!AN67&lt;=QUARTILE(Data!AN$4:AN$195,1),1,IF(Data!AN67&lt;=MEDIAN(Data!AN$4:AN$195),2,IF(Data!AN67&lt;=QUARTILE(Data!AN$4:AN$195,3),3,4)))</f>
        <v>1</v>
      </c>
      <c r="AO67" s="16">
        <f>IF(Data!AO67&lt;=QUARTILE(Data!AO$4:AO$195,1),1,IF(Data!AO67&lt;=MEDIAN(Data!AO$4:AO$195),2,IF(Data!AO67&lt;=QUARTILE(Data!AO$4:AO$195,3),3,4)))</f>
        <v>1</v>
      </c>
      <c r="AP67" s="20">
        <f>IF(Data!AP67&lt;=QUARTILE(Data!AP$4:AP$195,1),1,IF(Data!AP67&lt;=MEDIAN(Data!AP$4:AP$195),2,IF(Data!AP67&lt;=QUARTILE(Data!AP$4:AP$195,3),3,4)))</f>
        <v>2</v>
      </c>
      <c r="AQ67" s="20">
        <f>IF(Data!AQ67&lt;=QUARTILE(Data!AQ$4:AQ$195,1),1,IF(Data!AQ67&lt;=MEDIAN(Data!AQ$4:AQ$195),2,IF(Data!AQ67&lt;=QUARTILE(Data!AQ$4:AQ$195,3),3,4)))</f>
        <v>1</v>
      </c>
      <c r="AR67" s="20">
        <f>IF(Data!AR67&lt;=QUARTILE(Data!AR$4:AR$195,1),1,IF(Data!AR67&lt;=MEDIAN(Data!AR$4:AR$195),2,IF(Data!AR67&lt;=QUARTILE(Data!AR$4:AR$195,3),3,4)))</f>
        <v>1</v>
      </c>
      <c r="AS67" s="20">
        <f>IF(Data!AS67&lt;=QUARTILE(Data!AS$4:AS$195,1),1,IF(Data!AS67&lt;=MEDIAN(Data!AS$4:AS$195),2,IF(Data!AS67&lt;=QUARTILE(Data!AS$4:AS$195,3),3,4)))</f>
        <v>1</v>
      </c>
      <c r="AT67" s="20">
        <f>IF(Data!AT67&lt;=QUARTILE(Data!AT$4:AT$195,1),1,IF(Data!AT67&lt;=MEDIAN(Data!AT$4:AT$195),2,IF(Data!AT67&lt;=QUARTILE(Data!AT$4:AT$195,3),3,4)))</f>
        <v>1</v>
      </c>
      <c r="AU67" s="17">
        <f>IF(Data!AU67&lt;=QUARTILE(Data!AU$4:AU$195,1),1,IF(Data!AU67&lt;=MEDIAN(Data!AU$4:AU$195),2,IF(Data!AU67&lt;=QUARTILE(Data!AU$4:AU$195,3),3,4)))</f>
        <v>1</v>
      </c>
      <c r="AV67" s="16">
        <f>IF(Data!AV67&lt;=QUARTILE(Data!AV$4:AV$195,1),1,IF(Data!AV67&lt;=MEDIAN(Data!AV$4:AV$195),2,IF(Data!AV67&lt;=QUARTILE(Data!AV$4:AV$195,3),3,4)))</f>
        <v>1</v>
      </c>
      <c r="AW67" s="20">
        <f>IF(Data!AW67&lt;=QUARTILE(Data!AW$4:AW$195,1),1,IF(Data!AW67&lt;=MEDIAN(Data!AW$4:AW$195),2,IF(Data!AW67&lt;=QUARTILE(Data!AW$4:AW$195,3),3,4)))</f>
        <v>1</v>
      </c>
      <c r="AX67" s="20">
        <f>IF(Data!AX67&lt;=QUARTILE(Data!AX$4:AX$195,1),1,IF(Data!AX67&lt;=MEDIAN(Data!AX$4:AX$195),2,IF(Data!AX67&lt;=QUARTILE(Data!AX$4:AX$195,3),3,4)))</f>
        <v>2</v>
      </c>
      <c r="AY67" s="17">
        <f>IF(Data!AY67&lt;=QUARTILE(Data!AY$4:AY$195,1),1,IF(Data!AY67&lt;=MEDIAN(Data!AY$4:AY$195),2,IF(Data!AY67&lt;=QUARTILE(Data!AY$4:AY$195,3),3,4)))</f>
        <v>2</v>
      </c>
      <c r="AZ67" s="16">
        <f>IF(Data!AZ67&lt;=QUARTILE(Data!AZ$4:AZ$195,1),1,IF(Data!AZ67&lt;=MEDIAN(Data!AZ$4:AZ$195),2,IF(Data!AZ67&lt;=QUARTILE(Data!AZ$4:AZ$195,3),3,4)))</f>
        <v>1</v>
      </c>
      <c r="BA67" s="17">
        <f>IF(Data!BA67&lt;=QUARTILE(Data!BA$4:BA$195,1),1,IF(Data!BA67&lt;=MEDIAN(Data!BA$4:BA$195),2,IF(Data!BA67&lt;=QUARTILE(Data!BA$4:BA$195,3),3,4)))</f>
        <v>1</v>
      </c>
    </row>
    <row r="68" spans="1:53" x14ac:dyDescent="0.25">
      <c r="A68" s="11" t="s">
        <v>31</v>
      </c>
      <c r="B68" s="39">
        <v>2007</v>
      </c>
      <c r="C68" s="12">
        <v>8</v>
      </c>
      <c r="D68" s="18">
        <v>8</v>
      </c>
      <c r="E68" s="73" t="s">
        <v>96</v>
      </c>
      <c r="F68" s="18">
        <v>-3.9</v>
      </c>
      <c r="G68" s="18">
        <v>1.9</v>
      </c>
      <c r="H68" s="13">
        <v>-5.9</v>
      </c>
      <c r="I68" s="12">
        <f>IF(Data!I68&lt;=QUARTILE(Data!I$4:I$195,1),1,IF(Data!I68&lt;=MEDIAN(Data!I$4:I$195),2,IF(Data!I68&lt;=QUARTILE(Data!I$4:I$195,3),3,4)))</f>
        <v>4</v>
      </c>
      <c r="J68" s="18">
        <f>IF(Data!J68&lt;=QUARTILE(Data!J$4:J$195,1),1,IF(Data!J68&lt;=MEDIAN(Data!J$4:J$195),2,IF(Data!J68&lt;=QUARTILE(Data!J$4:J$195,3),3,4)))</f>
        <v>3</v>
      </c>
      <c r="K68" s="18">
        <f>IF(Data!K68&lt;=QUARTILE(Data!K$4:K$195,1),1,IF(Data!K68&lt;=MEDIAN(Data!K$4:K$195),2,IF(Data!K68&lt;=QUARTILE(Data!K$4:K$195,3),3,4)))</f>
        <v>3</v>
      </c>
      <c r="L68" s="13">
        <f>IF(Data!L68&lt;=QUARTILE(Data!L$4:L$195,1),1,IF(Data!L68&lt;=MEDIAN(Data!L$4:L$195),2,IF(Data!L68&lt;=QUARTILE(Data!L$4:L$195,3),3,4)))</f>
        <v>3</v>
      </c>
      <c r="M68" s="12">
        <f>IF(Data!M68&lt;=QUARTILE(Data!M$4:M$195,1),1,IF(Data!M68&lt;=MEDIAN(Data!M$4:M$195),2,IF(Data!M68&lt;=QUARTILE(Data!M$4:M$195,3),3,4)))</f>
        <v>4</v>
      </c>
      <c r="N68" s="18">
        <f>IF(Data!N68&lt;=QUARTILE(Data!N$4:N$195,1),1,IF(Data!N68&lt;=MEDIAN(Data!N$4:N$195),2,IF(Data!N68&lt;=QUARTILE(Data!N$4:N$195,3),3,4)))</f>
        <v>4</v>
      </c>
      <c r="O68" s="18">
        <f>IF(Data!O68&lt;=QUARTILE(Data!O$4:O$195,1),1,IF(Data!O68&lt;=MEDIAN(Data!O$4:O$195),2,IF(Data!O68&lt;=QUARTILE(Data!O$4:O$195,3),3,4)))</f>
        <v>4</v>
      </c>
      <c r="P68" s="18">
        <f>IF(Data!P68&lt;=QUARTILE(Data!P$4:P$195,1),1,IF(Data!P68&lt;=MEDIAN(Data!P$4:P$195),2,IF(Data!P68&lt;=QUARTILE(Data!P$4:P$195,3),3,4)))</f>
        <v>4</v>
      </c>
      <c r="Q68" s="18">
        <f>IF(Data!Q68&lt;=QUARTILE(Data!Q$4:Q$195,1),1,IF(Data!Q68&lt;=MEDIAN(Data!Q$4:Q$195),2,IF(Data!Q68&lt;=QUARTILE(Data!Q$4:Q$195,3),3,4)))</f>
        <v>4</v>
      </c>
      <c r="R68" s="18">
        <f>IF(Data!R68&lt;=QUARTILE(Data!R$4:R$195,1),1,IF(Data!R68&lt;=MEDIAN(Data!R$4:R$195),2,IF(Data!R68&lt;=QUARTILE(Data!R$4:R$195,3),3,4)))</f>
        <v>3</v>
      </c>
      <c r="S68" s="18">
        <f>IF(Data!S68&lt;=QUARTILE(Data!S$4:S$195,1),1,IF(Data!S68&lt;=MEDIAN(Data!S$4:S$195),2,IF(Data!S68&lt;=QUARTILE(Data!S$4:S$195,3),3,4)))</f>
        <v>1</v>
      </c>
      <c r="T68" s="18">
        <f>IF(Data!T68&lt;=QUARTILE(Data!T$4:T$195,1),1,IF(Data!T68&lt;=MEDIAN(Data!T$4:T$195),2,IF(Data!T68&lt;=QUARTILE(Data!T$4:T$195,3),3,4)))</f>
        <v>1</v>
      </c>
      <c r="U68" s="12">
        <f>IF(Data!U68&lt;=QUARTILE(Data!U$4:U$195,1),1,IF(Data!U68&lt;=MEDIAN(Data!U$4:U$195),2,IF(Data!U68&lt;=QUARTILE(Data!U$4:U$195,3),3,4)))</f>
        <v>1</v>
      </c>
      <c r="V68" s="18">
        <f>IF(Data!V68&lt;=QUARTILE(Data!V$4:V$195,1),1,IF(Data!V68&lt;=MEDIAN(Data!V$4:V$195),2,IF(Data!V68&lt;=QUARTILE(Data!V$4:V$195,3),3,4)))</f>
        <v>1</v>
      </c>
      <c r="W68" s="18">
        <f>IF(Data!W68&lt;=QUARTILE(Data!W$4:W$195,1),1,IF(Data!W68&lt;=MEDIAN(Data!W$4:W$195),2,IF(Data!W68&lt;=QUARTILE(Data!W$4:W$195,3),3,4)))</f>
        <v>1</v>
      </c>
      <c r="X68" s="13">
        <f>IF(Data!X68&lt;=QUARTILE(Data!X$4:X$195,1),1,IF(Data!X68&lt;=MEDIAN(Data!X$4:X$195),2,IF(Data!X68&lt;=QUARTILE(Data!X$4:X$195,3),3,4)))</f>
        <v>1</v>
      </c>
      <c r="Y68" s="12">
        <f>IF(Data!Y68&lt;=QUARTILE(Data!Y$4:Y$195,1),1,IF(Data!Y68&lt;=MEDIAN(Data!Y$4:Y$195),2,IF(Data!Y68&lt;=QUARTILE(Data!Y$4:Y$195,3),3,4)))</f>
        <v>4</v>
      </c>
      <c r="Z68" s="21">
        <f>IF(Data!Z68&lt;=QUARTILE(Data!Z$4:Z$195,1),1,IF(Data!Z68&lt;=MEDIAN(Data!Z$4:Z$195),2,IF(Data!Z68&lt;=QUARTILE(Data!Z$4:Z$195,3),3,4)))</f>
        <v>2</v>
      </c>
      <c r="AA68" s="12">
        <f>IF(Data!AA68&lt;=QUARTILE(Data!AA$4:AA$195,1),1,IF(Data!AA68&lt;=MEDIAN(Data!AA$4:AA$195),2,IF(Data!AA68&lt;=QUARTILE(Data!AA$4:AA$195,3),3,4)))</f>
        <v>3</v>
      </c>
      <c r="AB68" s="13">
        <f>IF(Data!AB68&lt;=QUARTILE(Data!AB$4:AB$195,1),1,IF(Data!AB68&lt;=MEDIAN(Data!AB$4:AB$195),2,IF(Data!AB68&lt;=QUARTILE(Data!AB$4:AB$195,3),3,4)))</f>
        <v>3</v>
      </c>
      <c r="AC68" s="12">
        <f>IF(Data!AC68&lt;=QUARTILE(Data!AC$4:AC$195,1),1,IF(Data!AC68&lt;=MEDIAN(Data!AC$4:AC$195),2,IF(Data!AC68&lt;=QUARTILE(Data!AC$4:AC$195,3),3,4)))</f>
        <v>4</v>
      </c>
      <c r="AD68" s="18">
        <f>IF(Data!AD68&lt;=QUARTILE(Data!AD$4:AD$195,1),1,IF(Data!AD68&lt;=MEDIAN(Data!AD$4:AD$195),2,IF(Data!AD68&lt;=QUARTILE(Data!AD$4:AD$195,3),3,4)))</f>
        <v>4</v>
      </c>
      <c r="AE68" s="12">
        <f>IF(Data!AE68&lt;=QUARTILE(Data!AE$4:AE$195,1),1,IF(Data!AE68&lt;=MEDIAN(Data!AE$4:AE$195),2,IF(Data!AE68&lt;=QUARTILE(Data!AE$4:AE$195,3),3,4)))</f>
        <v>1</v>
      </c>
      <c r="AF68" s="18">
        <f>IF(Data!AF68&lt;=QUARTILE(Data!AF$4:AF$195,1),1,IF(Data!AF68&lt;=MEDIAN(Data!AF$4:AF$195),2,IF(Data!AF68&lt;=QUARTILE(Data!AF$4:AF$195,3),3,4)))</f>
        <v>1</v>
      </c>
      <c r="AG68" s="18">
        <f>IF(Data!AG68&lt;=QUARTILE(Data!AG$4:AG$195,1),1,IF(Data!AG68&lt;=MEDIAN(Data!AG$4:AG$195),2,IF(Data!AG68&lt;=QUARTILE(Data!AG$4:AG$195,3),3,4)))</f>
        <v>4</v>
      </c>
      <c r="AH68" s="13">
        <f>IF(Data!AH68&lt;=QUARTILE(Data!AH$4:AH$195,1),1,IF(Data!AH68&lt;=MEDIAN(Data!AH$4:AH$195),2,IF(Data!AH68&lt;=QUARTILE(Data!AH$4:AH$195,3),3,4)))</f>
        <v>2</v>
      </c>
      <c r="AI68" s="12">
        <f>IF(Data!AI68&lt;=QUARTILE(Data!AI$4:AI$195,1),1,IF(Data!AI68&lt;=MEDIAN(Data!AI$4:AI$195),2,IF(Data!AI68&lt;=QUARTILE(Data!AI$4:AI$195,3),3,4)))</f>
        <v>3</v>
      </c>
      <c r="AJ68" s="13">
        <f>IF(Data!AJ68&lt;=QUARTILE(Data!AJ$4:AJ$195,1),1,IF(Data!AJ68&lt;=MEDIAN(Data!AJ$4:AJ$195),2,IF(Data!AJ68&lt;=QUARTILE(Data!AJ$4:AJ$195,3),3,4)))</f>
        <v>3</v>
      </c>
      <c r="AK68" s="12">
        <f>IF(Data!AK68&lt;=QUARTILE(Data!AK$4:AK$195,1),1,IF(Data!AK68&lt;=MEDIAN(Data!AK$4:AK$195),2,IF(Data!AK68&lt;=QUARTILE(Data!AK$4:AK$195,3),3,4)))</f>
        <v>4</v>
      </c>
      <c r="AL68" s="18">
        <f>IF(Data!AL68&lt;=QUARTILE(Data!AL$4:AL$195,1),1,IF(Data!AL68&lt;=MEDIAN(Data!AL$4:AL$195),2,IF(Data!AL68&lt;=QUARTILE(Data!AL$4:AL$195,3),3,4)))</f>
        <v>3</v>
      </c>
      <c r="AM68" s="18">
        <f>IF(Data!AM68&lt;=QUARTILE(Data!AM$4:AM$195,1),1,IF(Data!AM68&lt;=MEDIAN(Data!AM$4:AM$195),2,IF(Data!AM68&lt;=QUARTILE(Data!AM$4:AM$195,3),3,4)))</f>
        <v>3</v>
      </c>
      <c r="AN68" s="13">
        <f>IF(Data!AN68&lt;=QUARTILE(Data!AN$4:AN$195,1),1,IF(Data!AN68&lt;=MEDIAN(Data!AN$4:AN$195),2,IF(Data!AN68&lt;=QUARTILE(Data!AN$4:AN$195,3),3,4)))</f>
        <v>2</v>
      </c>
      <c r="AO68" s="12">
        <f>IF(Data!AO68&lt;=QUARTILE(Data!AO$4:AO$195,1),1,IF(Data!AO68&lt;=MEDIAN(Data!AO$4:AO$195),2,IF(Data!AO68&lt;=QUARTILE(Data!AO$4:AO$195,3),3,4)))</f>
        <v>4</v>
      </c>
      <c r="AP68" s="18">
        <f>IF(Data!AP68&lt;=QUARTILE(Data!AP$4:AP$195,1),1,IF(Data!AP68&lt;=MEDIAN(Data!AP$4:AP$195),2,IF(Data!AP68&lt;=QUARTILE(Data!AP$4:AP$195,3),3,4)))</f>
        <v>4</v>
      </c>
      <c r="AQ68" s="18">
        <f>IF(Data!AQ68&lt;=QUARTILE(Data!AQ$4:AQ$195,1),1,IF(Data!AQ68&lt;=MEDIAN(Data!AQ$4:AQ$195),2,IF(Data!AQ68&lt;=QUARTILE(Data!AQ$4:AQ$195,3),3,4)))</f>
        <v>4</v>
      </c>
      <c r="AR68" s="18">
        <f>IF(Data!AR68&lt;=QUARTILE(Data!AR$4:AR$195,1),1,IF(Data!AR68&lt;=MEDIAN(Data!AR$4:AR$195),2,IF(Data!AR68&lt;=QUARTILE(Data!AR$4:AR$195,3),3,4)))</f>
        <v>4</v>
      </c>
      <c r="AS68" s="18">
        <f>IF(Data!AS68&lt;=QUARTILE(Data!AS$4:AS$195,1),1,IF(Data!AS68&lt;=MEDIAN(Data!AS$4:AS$195),2,IF(Data!AS68&lt;=QUARTILE(Data!AS$4:AS$195,3),3,4)))</f>
        <v>3</v>
      </c>
      <c r="AT68" s="18">
        <f>IF(Data!AT68&lt;=QUARTILE(Data!AT$4:AT$195,1),1,IF(Data!AT68&lt;=MEDIAN(Data!AT$4:AT$195),2,IF(Data!AT68&lt;=QUARTILE(Data!AT$4:AT$195,3),3,4)))</f>
        <v>3</v>
      </c>
      <c r="AU68" s="18">
        <f>IF(Data!AU68&lt;=QUARTILE(Data!AU$4:AU$195,1),1,IF(Data!AU68&lt;=MEDIAN(Data!AU$4:AU$195),2,IF(Data!AU68&lt;=QUARTILE(Data!AU$4:AU$195,3),3,4)))</f>
        <v>3</v>
      </c>
      <c r="AV68" s="12">
        <f>IF(Data!AV68&lt;=QUARTILE(Data!AV$4:AV$195,1),1,IF(Data!AV68&lt;=MEDIAN(Data!AV$4:AV$195),2,IF(Data!AV68&lt;=QUARTILE(Data!AV$4:AV$195,3),3,4)))</f>
        <v>1</v>
      </c>
      <c r="AW68" s="18">
        <f>IF(Data!AW68&lt;=QUARTILE(Data!AW$4:AW$195,1),1,IF(Data!AW68&lt;=MEDIAN(Data!AW$4:AW$195),2,IF(Data!AW68&lt;=QUARTILE(Data!AW$4:AW$195,3),3,4)))</f>
        <v>1</v>
      </c>
      <c r="AX68" s="18">
        <f>IF(Data!AX68&lt;=QUARTILE(Data!AX$4:AX$195,1),1,IF(Data!AX68&lt;=MEDIAN(Data!AX$4:AX$195),2,IF(Data!AX68&lt;=QUARTILE(Data!AX$4:AX$195,3),3,4)))</f>
        <v>2</v>
      </c>
      <c r="AY68" s="13">
        <f>IF(Data!AY68&lt;=QUARTILE(Data!AY$4:AY$195,1),1,IF(Data!AY68&lt;=MEDIAN(Data!AY$4:AY$195),2,IF(Data!AY68&lt;=QUARTILE(Data!AY$4:AY$195,3),3,4)))</f>
        <v>2</v>
      </c>
      <c r="AZ68" s="12">
        <f>IF(Data!AZ68&lt;=QUARTILE(Data!AZ$4:AZ$195,1),1,IF(Data!AZ68&lt;=MEDIAN(Data!AZ$4:AZ$195),2,IF(Data!AZ68&lt;=QUARTILE(Data!AZ$4:AZ$195,3),3,4)))</f>
        <v>3</v>
      </c>
      <c r="BA68" s="13">
        <f>IF(Data!BA68&lt;=QUARTILE(Data!BA$4:BA$195,1),1,IF(Data!BA68&lt;=MEDIAN(Data!BA$4:BA$195),2,IF(Data!BA68&lt;=QUARTILE(Data!BA$4:BA$195,3),3,4)))</f>
        <v>2</v>
      </c>
    </row>
    <row r="69" spans="1:53" x14ac:dyDescent="0.25">
      <c r="A69" s="4" t="s">
        <v>28</v>
      </c>
      <c r="B69" s="40">
        <v>2007</v>
      </c>
      <c r="C69" s="14">
        <v>4</v>
      </c>
      <c r="D69" s="19">
        <v>12</v>
      </c>
      <c r="E69" s="74" t="s">
        <v>96</v>
      </c>
      <c r="F69" s="19">
        <v>-10.6</v>
      </c>
      <c r="G69" s="19">
        <v>-5.8</v>
      </c>
      <c r="H69" s="15">
        <v>-4.8</v>
      </c>
      <c r="I69" s="14">
        <f>IF(Data!I69&lt;=QUARTILE(Data!I$4:I$195,1),1,IF(Data!I69&lt;=MEDIAN(Data!I$4:I$195),2,IF(Data!I69&lt;=QUARTILE(Data!I$4:I$195,3),3,4)))</f>
        <v>1</v>
      </c>
      <c r="J69" s="19">
        <f>IF(Data!J69&lt;=QUARTILE(Data!J$4:J$195,1),1,IF(Data!J69&lt;=MEDIAN(Data!J$4:J$195),2,IF(Data!J69&lt;=QUARTILE(Data!J$4:J$195,3),3,4)))</f>
        <v>2</v>
      </c>
      <c r="K69" s="19">
        <f>IF(Data!K69&lt;=QUARTILE(Data!K$4:K$195,1),1,IF(Data!K69&lt;=MEDIAN(Data!K$4:K$195),2,IF(Data!K69&lt;=QUARTILE(Data!K$4:K$195,3),3,4)))</f>
        <v>2</v>
      </c>
      <c r="L69" s="15">
        <f>IF(Data!L69&lt;=QUARTILE(Data!L$4:L$195,1),1,IF(Data!L69&lt;=MEDIAN(Data!L$4:L$195),2,IF(Data!L69&lt;=QUARTILE(Data!L$4:L$195,3),3,4)))</f>
        <v>1</v>
      </c>
      <c r="M69" s="14">
        <f>IF(Data!M69&lt;=QUARTILE(Data!M$4:M$195,1),1,IF(Data!M69&lt;=MEDIAN(Data!M$4:M$195),2,IF(Data!M69&lt;=QUARTILE(Data!M$4:M$195,3),3,4)))</f>
        <v>3</v>
      </c>
      <c r="N69" s="19">
        <f>IF(Data!N69&lt;=QUARTILE(Data!N$4:N$195,1),1,IF(Data!N69&lt;=MEDIAN(Data!N$4:N$195),2,IF(Data!N69&lt;=QUARTILE(Data!N$4:N$195,3),3,4)))</f>
        <v>3</v>
      </c>
      <c r="O69" s="19">
        <f>IF(Data!O69&lt;=QUARTILE(Data!O$4:O$195,1),1,IF(Data!O69&lt;=MEDIAN(Data!O$4:O$195),2,IF(Data!O69&lt;=QUARTILE(Data!O$4:O$195,3),3,4)))</f>
        <v>2</v>
      </c>
      <c r="P69" s="19">
        <f>IF(Data!P69&lt;=QUARTILE(Data!P$4:P$195,1),1,IF(Data!P69&lt;=MEDIAN(Data!P$4:P$195),2,IF(Data!P69&lt;=QUARTILE(Data!P$4:P$195,3),3,4)))</f>
        <v>2</v>
      </c>
      <c r="Q69" s="19">
        <f>IF(Data!Q69&lt;=QUARTILE(Data!Q$4:Q$195,1),1,IF(Data!Q69&lt;=MEDIAN(Data!Q$4:Q$195),2,IF(Data!Q69&lt;=QUARTILE(Data!Q$4:Q$195,3),3,4)))</f>
        <v>2</v>
      </c>
      <c r="R69" s="19">
        <f>IF(Data!R69&lt;=QUARTILE(Data!R$4:R$195,1),1,IF(Data!R69&lt;=MEDIAN(Data!R$4:R$195),2,IF(Data!R69&lt;=QUARTILE(Data!R$4:R$195,3),3,4)))</f>
        <v>2</v>
      </c>
      <c r="S69" s="19">
        <f>IF(Data!S69&lt;=QUARTILE(Data!S$4:S$195,1),1,IF(Data!S69&lt;=MEDIAN(Data!S$4:S$195),2,IF(Data!S69&lt;=QUARTILE(Data!S$4:S$195,3),3,4)))</f>
        <v>4</v>
      </c>
      <c r="T69" s="19">
        <f>IF(Data!T69&lt;=QUARTILE(Data!T$4:T$195,1),1,IF(Data!T69&lt;=MEDIAN(Data!T$4:T$195),2,IF(Data!T69&lt;=QUARTILE(Data!T$4:T$195,3),3,4)))</f>
        <v>3</v>
      </c>
      <c r="U69" s="14">
        <f>IF(Data!U69&lt;=QUARTILE(Data!U$4:U$195,1),1,IF(Data!U69&lt;=MEDIAN(Data!U$4:U$195),2,IF(Data!U69&lt;=QUARTILE(Data!U$4:U$195,3),3,4)))</f>
        <v>1</v>
      </c>
      <c r="V69" s="19">
        <f>IF(Data!V69&lt;=QUARTILE(Data!V$4:V$195,1),1,IF(Data!V69&lt;=MEDIAN(Data!V$4:V$195),2,IF(Data!V69&lt;=QUARTILE(Data!V$4:V$195,3),3,4)))</f>
        <v>1</v>
      </c>
      <c r="W69" s="19">
        <f>IF(Data!W69&lt;=QUARTILE(Data!W$4:W$195,1),1,IF(Data!W69&lt;=MEDIAN(Data!W$4:W$195),2,IF(Data!W69&lt;=QUARTILE(Data!W$4:W$195,3),3,4)))</f>
        <v>1</v>
      </c>
      <c r="X69" s="15">
        <f>IF(Data!X69&lt;=QUARTILE(Data!X$4:X$195,1),1,IF(Data!X69&lt;=MEDIAN(Data!X$4:X$195),2,IF(Data!X69&lt;=QUARTILE(Data!X$4:X$195,3),3,4)))</f>
        <v>1</v>
      </c>
      <c r="Y69" s="14">
        <f>IF(Data!Y69&lt;=QUARTILE(Data!Y$4:Y$195,1),1,IF(Data!Y69&lt;=MEDIAN(Data!Y$4:Y$195),2,IF(Data!Y69&lt;=QUARTILE(Data!Y$4:Y$195,3),3,4)))</f>
        <v>2</v>
      </c>
      <c r="Z69" s="22">
        <f>IF(Data!Z69&lt;=QUARTILE(Data!Z$4:Z$195,1),1,IF(Data!Z69&lt;=MEDIAN(Data!Z$4:Z$195),2,IF(Data!Z69&lt;=QUARTILE(Data!Z$4:Z$195,3),3,4)))</f>
        <v>1</v>
      </c>
      <c r="AA69" s="14">
        <f>IF(Data!AA69&lt;=QUARTILE(Data!AA$4:AA$195,1),1,IF(Data!AA69&lt;=MEDIAN(Data!AA$4:AA$195),2,IF(Data!AA69&lt;=QUARTILE(Data!AA$4:AA$195,3),3,4)))</f>
        <v>2</v>
      </c>
      <c r="AB69" s="15">
        <f>IF(Data!AB69&lt;=QUARTILE(Data!AB$4:AB$195,1),1,IF(Data!AB69&lt;=MEDIAN(Data!AB$4:AB$195),2,IF(Data!AB69&lt;=QUARTILE(Data!AB$4:AB$195,3),3,4)))</f>
        <v>1</v>
      </c>
      <c r="AC69" s="14">
        <f>IF(Data!AC69&lt;=QUARTILE(Data!AC$4:AC$195,1),1,IF(Data!AC69&lt;=MEDIAN(Data!AC$4:AC$195),2,IF(Data!AC69&lt;=QUARTILE(Data!AC$4:AC$195,3),3,4)))</f>
        <v>3</v>
      </c>
      <c r="AD69" s="19">
        <f>IF(Data!AD69&lt;=QUARTILE(Data!AD$4:AD$195,1),1,IF(Data!AD69&lt;=MEDIAN(Data!AD$4:AD$195),2,IF(Data!AD69&lt;=QUARTILE(Data!AD$4:AD$195,3),3,4)))</f>
        <v>4</v>
      </c>
      <c r="AE69" s="14">
        <f>IF(Data!AE69&lt;=QUARTILE(Data!AE$4:AE$195,1),1,IF(Data!AE69&lt;=MEDIAN(Data!AE$4:AE$195),2,IF(Data!AE69&lt;=QUARTILE(Data!AE$4:AE$195,3),3,4)))</f>
        <v>4</v>
      </c>
      <c r="AF69" s="19">
        <f>IF(Data!AF69&lt;=QUARTILE(Data!AF$4:AF$195,1),1,IF(Data!AF69&lt;=MEDIAN(Data!AF$4:AF$195),2,IF(Data!AF69&lt;=QUARTILE(Data!AF$4:AF$195,3),3,4)))</f>
        <v>4</v>
      </c>
      <c r="AG69" s="19">
        <f>IF(Data!AG69&lt;=QUARTILE(Data!AG$4:AG$195,1),1,IF(Data!AG69&lt;=MEDIAN(Data!AG$4:AG$195),2,IF(Data!AG69&lt;=QUARTILE(Data!AG$4:AG$195,3),3,4)))</f>
        <v>2</v>
      </c>
      <c r="AH69" s="15">
        <f>IF(Data!AH69&lt;=QUARTILE(Data!AH$4:AH$195,1),1,IF(Data!AH69&lt;=MEDIAN(Data!AH$4:AH$195),2,IF(Data!AH69&lt;=QUARTILE(Data!AH$4:AH$195,3),3,4)))</f>
        <v>1</v>
      </c>
      <c r="AI69" s="14">
        <f>IF(Data!AI69&lt;=QUARTILE(Data!AI$4:AI$195,1),1,IF(Data!AI69&lt;=MEDIAN(Data!AI$4:AI$195),2,IF(Data!AI69&lt;=QUARTILE(Data!AI$4:AI$195,3),3,4)))</f>
        <v>4</v>
      </c>
      <c r="AJ69" s="15">
        <f>IF(Data!AJ69&lt;=QUARTILE(Data!AJ$4:AJ$195,1),1,IF(Data!AJ69&lt;=MEDIAN(Data!AJ$4:AJ$195),2,IF(Data!AJ69&lt;=QUARTILE(Data!AJ$4:AJ$195,3),3,4)))</f>
        <v>4</v>
      </c>
      <c r="AK69" s="14">
        <f>IF(Data!AK69&lt;=QUARTILE(Data!AK$4:AK$195,1),1,IF(Data!AK69&lt;=MEDIAN(Data!AK$4:AK$195),2,IF(Data!AK69&lt;=QUARTILE(Data!AK$4:AK$195,3),3,4)))</f>
        <v>4</v>
      </c>
      <c r="AL69" s="19">
        <f>IF(Data!AL69&lt;=QUARTILE(Data!AL$4:AL$195,1),1,IF(Data!AL69&lt;=MEDIAN(Data!AL$4:AL$195),2,IF(Data!AL69&lt;=QUARTILE(Data!AL$4:AL$195,3),3,4)))</f>
        <v>4</v>
      </c>
      <c r="AM69" s="19">
        <f>IF(Data!AM69&lt;=QUARTILE(Data!AM$4:AM$195,1),1,IF(Data!AM69&lt;=MEDIAN(Data!AM$4:AM$195),2,IF(Data!AM69&lt;=QUARTILE(Data!AM$4:AM$195,3),3,4)))</f>
        <v>4</v>
      </c>
      <c r="AN69" s="15">
        <f>IF(Data!AN69&lt;=QUARTILE(Data!AN$4:AN$195,1),1,IF(Data!AN69&lt;=MEDIAN(Data!AN$4:AN$195),2,IF(Data!AN69&lt;=QUARTILE(Data!AN$4:AN$195,3),3,4)))</f>
        <v>4</v>
      </c>
      <c r="AO69" s="14">
        <f>IF(Data!AO69&lt;=QUARTILE(Data!AO$4:AO$195,1),1,IF(Data!AO69&lt;=MEDIAN(Data!AO$4:AO$195),2,IF(Data!AO69&lt;=QUARTILE(Data!AO$4:AO$195,3),3,4)))</f>
        <v>4</v>
      </c>
      <c r="AP69" s="19">
        <f>IF(Data!AP69&lt;=QUARTILE(Data!AP$4:AP$195,1),1,IF(Data!AP69&lt;=MEDIAN(Data!AP$4:AP$195),2,IF(Data!AP69&lt;=QUARTILE(Data!AP$4:AP$195,3),3,4)))</f>
        <v>3</v>
      </c>
      <c r="AQ69" s="19">
        <f>IF(Data!AQ69&lt;=QUARTILE(Data!AQ$4:AQ$195,1),1,IF(Data!AQ69&lt;=MEDIAN(Data!AQ$4:AQ$195),2,IF(Data!AQ69&lt;=QUARTILE(Data!AQ$4:AQ$195,3),3,4)))</f>
        <v>4</v>
      </c>
      <c r="AR69" s="19">
        <f>IF(Data!AR69&lt;=QUARTILE(Data!AR$4:AR$195,1),1,IF(Data!AR69&lt;=MEDIAN(Data!AR$4:AR$195),2,IF(Data!AR69&lt;=QUARTILE(Data!AR$4:AR$195,3),3,4)))</f>
        <v>4</v>
      </c>
      <c r="AS69" s="19">
        <f>IF(Data!AS69&lt;=QUARTILE(Data!AS$4:AS$195,1),1,IF(Data!AS69&lt;=MEDIAN(Data!AS$4:AS$195),2,IF(Data!AS69&lt;=QUARTILE(Data!AS$4:AS$195,3),3,4)))</f>
        <v>4</v>
      </c>
      <c r="AT69" s="19">
        <f>IF(Data!AT69&lt;=QUARTILE(Data!AT$4:AT$195,1),1,IF(Data!AT69&lt;=MEDIAN(Data!AT$4:AT$195),2,IF(Data!AT69&lt;=QUARTILE(Data!AT$4:AT$195,3),3,4)))</f>
        <v>1</v>
      </c>
      <c r="AU69" s="19">
        <f>IF(Data!AU69&lt;=QUARTILE(Data!AU$4:AU$195,1),1,IF(Data!AU69&lt;=MEDIAN(Data!AU$4:AU$195),2,IF(Data!AU69&lt;=QUARTILE(Data!AU$4:AU$195,3),3,4)))</f>
        <v>1</v>
      </c>
      <c r="AV69" s="14">
        <f>IF(Data!AV69&lt;=QUARTILE(Data!AV$4:AV$195,1),1,IF(Data!AV69&lt;=MEDIAN(Data!AV$4:AV$195),2,IF(Data!AV69&lt;=QUARTILE(Data!AV$4:AV$195,3),3,4)))</f>
        <v>4</v>
      </c>
      <c r="AW69" s="19">
        <f>IF(Data!AW69&lt;=QUARTILE(Data!AW$4:AW$195,1),1,IF(Data!AW69&lt;=MEDIAN(Data!AW$4:AW$195),2,IF(Data!AW69&lt;=QUARTILE(Data!AW$4:AW$195,3),3,4)))</f>
        <v>3</v>
      </c>
      <c r="AX69" s="19">
        <f>IF(Data!AX69&lt;=QUARTILE(Data!AX$4:AX$195,1),1,IF(Data!AX69&lt;=MEDIAN(Data!AX$4:AX$195),2,IF(Data!AX69&lt;=QUARTILE(Data!AX$4:AX$195,3),3,4)))</f>
        <v>2</v>
      </c>
      <c r="AY69" s="15">
        <f>IF(Data!AY69&lt;=QUARTILE(Data!AY$4:AY$195,1),1,IF(Data!AY69&lt;=MEDIAN(Data!AY$4:AY$195),2,IF(Data!AY69&lt;=QUARTILE(Data!AY$4:AY$195,3),3,4)))</f>
        <v>3</v>
      </c>
      <c r="AZ69" s="14">
        <f>IF(Data!AZ69&lt;=QUARTILE(Data!AZ$4:AZ$195,1),1,IF(Data!AZ69&lt;=MEDIAN(Data!AZ$4:AZ$195),2,IF(Data!AZ69&lt;=QUARTILE(Data!AZ$4:AZ$195,3),3,4)))</f>
        <v>2</v>
      </c>
      <c r="BA69" s="15">
        <f>IF(Data!BA69&lt;=QUARTILE(Data!BA$4:BA$195,1),1,IF(Data!BA69&lt;=MEDIAN(Data!BA$4:BA$195),2,IF(Data!BA69&lt;=QUARTILE(Data!BA$4:BA$195,3),3,4)))</f>
        <v>3</v>
      </c>
    </row>
    <row r="70" spans="1:53" x14ac:dyDescent="0.25">
      <c r="A70" s="4" t="s">
        <v>8</v>
      </c>
      <c r="B70" s="40">
        <v>2007</v>
      </c>
      <c r="C70" s="14">
        <v>5</v>
      </c>
      <c r="D70" s="19">
        <v>11</v>
      </c>
      <c r="E70" s="74" t="s">
        <v>96</v>
      </c>
      <c r="F70" s="19">
        <v>-6.7</v>
      </c>
      <c r="G70" s="19">
        <v>-5</v>
      </c>
      <c r="H70" s="15">
        <v>-1.8</v>
      </c>
      <c r="I70" s="14">
        <f>IF(Data!I70&lt;=QUARTILE(Data!I$4:I$195,1),1,IF(Data!I70&lt;=MEDIAN(Data!I$4:I$195),2,IF(Data!I70&lt;=QUARTILE(Data!I$4:I$195,3),3,4)))</f>
        <v>1</v>
      </c>
      <c r="J70" s="19">
        <f>IF(Data!J70&lt;=QUARTILE(Data!J$4:J$195,1),1,IF(Data!J70&lt;=MEDIAN(Data!J$4:J$195),2,IF(Data!J70&lt;=QUARTILE(Data!J$4:J$195,3),3,4)))</f>
        <v>2</v>
      </c>
      <c r="K70" s="19">
        <f>IF(Data!K70&lt;=QUARTILE(Data!K$4:K$195,1),1,IF(Data!K70&lt;=MEDIAN(Data!K$4:K$195),2,IF(Data!K70&lt;=QUARTILE(Data!K$4:K$195,3),3,4)))</f>
        <v>4</v>
      </c>
      <c r="L70" s="15">
        <f>IF(Data!L70&lt;=QUARTILE(Data!L$4:L$195,1),1,IF(Data!L70&lt;=MEDIAN(Data!L$4:L$195),2,IF(Data!L70&lt;=QUARTILE(Data!L$4:L$195,3),3,4)))</f>
        <v>2</v>
      </c>
      <c r="M70" s="14">
        <f>IF(Data!M70&lt;=QUARTILE(Data!M$4:M$195,1),1,IF(Data!M70&lt;=MEDIAN(Data!M$4:M$195),2,IF(Data!M70&lt;=QUARTILE(Data!M$4:M$195,3),3,4)))</f>
        <v>3</v>
      </c>
      <c r="N70" s="19">
        <f>IF(Data!N70&lt;=QUARTILE(Data!N$4:N$195,1),1,IF(Data!N70&lt;=MEDIAN(Data!N$4:N$195),2,IF(Data!N70&lt;=QUARTILE(Data!N$4:N$195,3),3,4)))</f>
        <v>3</v>
      </c>
      <c r="O70" s="19">
        <f>IF(Data!O70&lt;=QUARTILE(Data!O$4:O$195,1),1,IF(Data!O70&lt;=MEDIAN(Data!O$4:O$195),2,IF(Data!O70&lt;=QUARTILE(Data!O$4:O$195,3),3,4)))</f>
        <v>2</v>
      </c>
      <c r="P70" s="19">
        <f>IF(Data!P70&lt;=QUARTILE(Data!P$4:P$195,1),1,IF(Data!P70&lt;=MEDIAN(Data!P$4:P$195),2,IF(Data!P70&lt;=QUARTILE(Data!P$4:P$195,3),3,4)))</f>
        <v>1</v>
      </c>
      <c r="Q70" s="19">
        <f>IF(Data!Q70&lt;=QUARTILE(Data!Q$4:Q$195,1),1,IF(Data!Q70&lt;=MEDIAN(Data!Q$4:Q$195),2,IF(Data!Q70&lt;=QUARTILE(Data!Q$4:Q$195,3),3,4)))</f>
        <v>3</v>
      </c>
      <c r="R70" s="19">
        <f>IF(Data!R70&lt;=QUARTILE(Data!R$4:R$195,1),1,IF(Data!R70&lt;=MEDIAN(Data!R$4:R$195),2,IF(Data!R70&lt;=QUARTILE(Data!R$4:R$195,3),3,4)))</f>
        <v>2</v>
      </c>
      <c r="S70" s="19">
        <f>IF(Data!S70&lt;=QUARTILE(Data!S$4:S$195,1),1,IF(Data!S70&lt;=MEDIAN(Data!S$4:S$195),2,IF(Data!S70&lt;=QUARTILE(Data!S$4:S$195,3),3,4)))</f>
        <v>3</v>
      </c>
      <c r="T70" s="19">
        <f>IF(Data!T70&lt;=QUARTILE(Data!T$4:T$195,1),1,IF(Data!T70&lt;=MEDIAN(Data!T$4:T$195),2,IF(Data!T70&lt;=QUARTILE(Data!T$4:T$195,3),3,4)))</f>
        <v>3</v>
      </c>
      <c r="U70" s="14">
        <f>IF(Data!U70&lt;=QUARTILE(Data!U$4:U$195,1),1,IF(Data!U70&lt;=MEDIAN(Data!U$4:U$195),2,IF(Data!U70&lt;=QUARTILE(Data!U$4:U$195,3),3,4)))</f>
        <v>3</v>
      </c>
      <c r="V70" s="19">
        <f>IF(Data!V70&lt;=QUARTILE(Data!V$4:V$195,1),1,IF(Data!V70&lt;=MEDIAN(Data!V$4:V$195),2,IF(Data!V70&lt;=QUARTILE(Data!V$4:V$195,3),3,4)))</f>
        <v>2</v>
      </c>
      <c r="W70" s="19">
        <f>IF(Data!W70&lt;=QUARTILE(Data!W$4:W$195,1),1,IF(Data!W70&lt;=MEDIAN(Data!W$4:W$195),2,IF(Data!W70&lt;=QUARTILE(Data!W$4:W$195,3),3,4)))</f>
        <v>2</v>
      </c>
      <c r="X70" s="15">
        <f>IF(Data!X70&lt;=QUARTILE(Data!X$4:X$195,1),1,IF(Data!X70&lt;=MEDIAN(Data!X$4:X$195),2,IF(Data!X70&lt;=QUARTILE(Data!X$4:X$195,3),3,4)))</f>
        <v>2</v>
      </c>
      <c r="Y70" s="14">
        <f>IF(Data!Y70&lt;=QUARTILE(Data!Y$4:Y$195,1),1,IF(Data!Y70&lt;=MEDIAN(Data!Y$4:Y$195),2,IF(Data!Y70&lt;=QUARTILE(Data!Y$4:Y$195,3),3,4)))</f>
        <v>2</v>
      </c>
      <c r="Z70" s="22">
        <f>IF(Data!Z70&lt;=QUARTILE(Data!Z$4:Z$195,1),1,IF(Data!Z70&lt;=MEDIAN(Data!Z$4:Z$195),2,IF(Data!Z70&lt;=QUARTILE(Data!Z$4:Z$195,3),3,4)))</f>
        <v>4</v>
      </c>
      <c r="AA70" s="14">
        <f>IF(Data!AA70&lt;=QUARTILE(Data!AA$4:AA$195,1),1,IF(Data!AA70&lt;=MEDIAN(Data!AA$4:AA$195),2,IF(Data!AA70&lt;=QUARTILE(Data!AA$4:AA$195,3),3,4)))</f>
        <v>2</v>
      </c>
      <c r="AB70" s="15">
        <f>IF(Data!AB70&lt;=QUARTILE(Data!AB$4:AB$195,1),1,IF(Data!AB70&lt;=MEDIAN(Data!AB$4:AB$195),2,IF(Data!AB70&lt;=QUARTILE(Data!AB$4:AB$195,3),3,4)))</f>
        <v>3</v>
      </c>
      <c r="AC70" s="14">
        <f>IF(Data!AC70&lt;=QUARTILE(Data!AC$4:AC$195,1),1,IF(Data!AC70&lt;=MEDIAN(Data!AC$4:AC$195),2,IF(Data!AC70&lt;=QUARTILE(Data!AC$4:AC$195,3),3,4)))</f>
        <v>2</v>
      </c>
      <c r="AD70" s="19">
        <f>IF(Data!AD70&lt;=QUARTILE(Data!AD$4:AD$195,1),1,IF(Data!AD70&lt;=MEDIAN(Data!AD$4:AD$195),2,IF(Data!AD70&lt;=QUARTILE(Data!AD$4:AD$195,3),3,4)))</f>
        <v>3</v>
      </c>
      <c r="AE70" s="14">
        <f>IF(Data!AE70&lt;=QUARTILE(Data!AE$4:AE$195,1),1,IF(Data!AE70&lt;=MEDIAN(Data!AE$4:AE$195),2,IF(Data!AE70&lt;=QUARTILE(Data!AE$4:AE$195,3),3,4)))</f>
        <v>3</v>
      </c>
      <c r="AF70" s="19">
        <f>IF(Data!AF70&lt;=QUARTILE(Data!AF$4:AF$195,1),1,IF(Data!AF70&lt;=MEDIAN(Data!AF$4:AF$195),2,IF(Data!AF70&lt;=QUARTILE(Data!AF$4:AF$195,3),3,4)))</f>
        <v>3</v>
      </c>
      <c r="AG70" s="19">
        <f>IF(Data!AG70&lt;=QUARTILE(Data!AG$4:AG$195,1),1,IF(Data!AG70&lt;=MEDIAN(Data!AG$4:AG$195),2,IF(Data!AG70&lt;=QUARTILE(Data!AG$4:AG$195,3),3,4)))</f>
        <v>3</v>
      </c>
      <c r="AH70" s="15">
        <f>IF(Data!AH70&lt;=QUARTILE(Data!AH$4:AH$195,1),1,IF(Data!AH70&lt;=MEDIAN(Data!AH$4:AH$195),2,IF(Data!AH70&lt;=QUARTILE(Data!AH$4:AH$195,3),3,4)))</f>
        <v>2</v>
      </c>
      <c r="AI70" s="14">
        <f>IF(Data!AI70&lt;=QUARTILE(Data!AI$4:AI$195,1),1,IF(Data!AI70&lt;=MEDIAN(Data!AI$4:AI$195),2,IF(Data!AI70&lt;=QUARTILE(Data!AI$4:AI$195,3),3,4)))</f>
        <v>3</v>
      </c>
      <c r="AJ70" s="15">
        <f>IF(Data!AJ70&lt;=QUARTILE(Data!AJ$4:AJ$195,1),1,IF(Data!AJ70&lt;=MEDIAN(Data!AJ$4:AJ$195),2,IF(Data!AJ70&lt;=QUARTILE(Data!AJ$4:AJ$195,3),3,4)))</f>
        <v>3</v>
      </c>
      <c r="AK70" s="14">
        <f>IF(Data!AK70&lt;=QUARTILE(Data!AK$4:AK$195,1),1,IF(Data!AK70&lt;=MEDIAN(Data!AK$4:AK$195),2,IF(Data!AK70&lt;=QUARTILE(Data!AK$4:AK$195,3),3,4)))</f>
        <v>4</v>
      </c>
      <c r="AL70" s="19">
        <f>IF(Data!AL70&lt;=QUARTILE(Data!AL$4:AL$195,1),1,IF(Data!AL70&lt;=MEDIAN(Data!AL$4:AL$195),2,IF(Data!AL70&lt;=QUARTILE(Data!AL$4:AL$195,3),3,4)))</f>
        <v>1</v>
      </c>
      <c r="AM70" s="19">
        <f>IF(Data!AM70&lt;=QUARTILE(Data!AM$4:AM$195,1),1,IF(Data!AM70&lt;=MEDIAN(Data!AM$4:AM$195),2,IF(Data!AM70&lt;=QUARTILE(Data!AM$4:AM$195,3),3,4)))</f>
        <v>1</v>
      </c>
      <c r="AN70" s="15">
        <f>IF(Data!AN70&lt;=QUARTILE(Data!AN$4:AN$195,1),1,IF(Data!AN70&lt;=MEDIAN(Data!AN$4:AN$195),2,IF(Data!AN70&lt;=QUARTILE(Data!AN$4:AN$195,3),3,4)))</f>
        <v>1</v>
      </c>
      <c r="AO70" s="14">
        <f>IF(Data!AO70&lt;=QUARTILE(Data!AO$4:AO$195,1),1,IF(Data!AO70&lt;=MEDIAN(Data!AO$4:AO$195),2,IF(Data!AO70&lt;=QUARTILE(Data!AO$4:AO$195,3),3,4)))</f>
        <v>2</v>
      </c>
      <c r="AP70" s="19">
        <f>IF(Data!AP70&lt;=QUARTILE(Data!AP$4:AP$195,1),1,IF(Data!AP70&lt;=MEDIAN(Data!AP$4:AP$195),2,IF(Data!AP70&lt;=QUARTILE(Data!AP$4:AP$195,3),3,4)))</f>
        <v>1</v>
      </c>
      <c r="AQ70" s="19">
        <f>IF(Data!AQ70&lt;=QUARTILE(Data!AQ$4:AQ$195,1),1,IF(Data!AQ70&lt;=MEDIAN(Data!AQ$4:AQ$195),2,IF(Data!AQ70&lt;=QUARTILE(Data!AQ$4:AQ$195,3),3,4)))</f>
        <v>3</v>
      </c>
      <c r="AR70" s="19">
        <f>IF(Data!AR70&lt;=QUARTILE(Data!AR$4:AR$195,1),1,IF(Data!AR70&lt;=MEDIAN(Data!AR$4:AR$195),2,IF(Data!AR70&lt;=QUARTILE(Data!AR$4:AR$195,3),3,4)))</f>
        <v>4</v>
      </c>
      <c r="AS70" s="19">
        <f>IF(Data!AS70&lt;=QUARTILE(Data!AS$4:AS$195,1),1,IF(Data!AS70&lt;=MEDIAN(Data!AS$4:AS$195),2,IF(Data!AS70&lt;=QUARTILE(Data!AS$4:AS$195,3),3,4)))</f>
        <v>1</v>
      </c>
      <c r="AT70" s="19">
        <f>IF(Data!AT70&lt;=QUARTILE(Data!AT$4:AT$195,1),1,IF(Data!AT70&lt;=MEDIAN(Data!AT$4:AT$195),2,IF(Data!AT70&lt;=QUARTILE(Data!AT$4:AT$195,3),3,4)))</f>
        <v>2</v>
      </c>
      <c r="AU70" s="19">
        <f>IF(Data!AU70&lt;=QUARTILE(Data!AU$4:AU$195,1),1,IF(Data!AU70&lt;=MEDIAN(Data!AU$4:AU$195),2,IF(Data!AU70&lt;=QUARTILE(Data!AU$4:AU$195,3),3,4)))</f>
        <v>1</v>
      </c>
      <c r="AV70" s="14">
        <f>IF(Data!AV70&lt;=QUARTILE(Data!AV$4:AV$195,1),1,IF(Data!AV70&lt;=MEDIAN(Data!AV$4:AV$195),2,IF(Data!AV70&lt;=QUARTILE(Data!AV$4:AV$195,3),3,4)))</f>
        <v>3</v>
      </c>
      <c r="AW70" s="19">
        <f>IF(Data!AW70&lt;=QUARTILE(Data!AW$4:AW$195,1),1,IF(Data!AW70&lt;=MEDIAN(Data!AW$4:AW$195),2,IF(Data!AW70&lt;=QUARTILE(Data!AW$4:AW$195,3),3,4)))</f>
        <v>1</v>
      </c>
      <c r="AX70" s="19">
        <f>IF(Data!AX70&lt;=QUARTILE(Data!AX$4:AX$195,1),1,IF(Data!AX70&lt;=MEDIAN(Data!AX$4:AX$195),2,IF(Data!AX70&lt;=QUARTILE(Data!AX$4:AX$195,3),3,4)))</f>
        <v>1</v>
      </c>
      <c r="AY70" s="15">
        <f>IF(Data!AY70&lt;=QUARTILE(Data!AY$4:AY$195,1),1,IF(Data!AY70&lt;=MEDIAN(Data!AY$4:AY$195),2,IF(Data!AY70&lt;=QUARTILE(Data!AY$4:AY$195,3),3,4)))</f>
        <v>1</v>
      </c>
      <c r="AZ70" s="14">
        <f>IF(Data!AZ70&lt;=QUARTILE(Data!AZ$4:AZ$195,1),1,IF(Data!AZ70&lt;=MEDIAN(Data!AZ$4:AZ$195),2,IF(Data!AZ70&lt;=QUARTILE(Data!AZ$4:AZ$195,3),3,4)))</f>
        <v>3</v>
      </c>
      <c r="BA70" s="15">
        <f>IF(Data!BA70&lt;=QUARTILE(Data!BA$4:BA$195,1),1,IF(Data!BA70&lt;=MEDIAN(Data!BA$4:BA$195),2,IF(Data!BA70&lt;=QUARTILE(Data!BA$4:BA$195,3),3,4)))</f>
        <v>1</v>
      </c>
    </row>
    <row r="71" spans="1:53" x14ac:dyDescent="0.25">
      <c r="A71" s="4" t="s">
        <v>6</v>
      </c>
      <c r="B71" s="40">
        <v>2007</v>
      </c>
      <c r="C71" s="14">
        <v>7</v>
      </c>
      <c r="D71" s="19">
        <v>9</v>
      </c>
      <c r="E71" s="74" t="s">
        <v>96</v>
      </c>
      <c r="F71" s="19">
        <v>-4.0999999999999996</v>
      </c>
      <c r="G71" s="19">
        <v>-5.6</v>
      </c>
      <c r="H71" s="15">
        <v>1.5</v>
      </c>
      <c r="I71" s="14">
        <f>IF(Data!I71&lt;=QUARTILE(Data!I$4:I$195,1),1,IF(Data!I71&lt;=MEDIAN(Data!I$4:I$195),2,IF(Data!I71&lt;=QUARTILE(Data!I$4:I$195,3),3,4)))</f>
        <v>1</v>
      </c>
      <c r="J71" s="19">
        <f>IF(Data!J71&lt;=QUARTILE(Data!J$4:J$195,1),1,IF(Data!J71&lt;=MEDIAN(Data!J$4:J$195),2,IF(Data!J71&lt;=QUARTILE(Data!J$4:J$195,3),3,4)))</f>
        <v>1</v>
      </c>
      <c r="K71" s="19">
        <f>IF(Data!K71&lt;=QUARTILE(Data!K$4:K$195,1),1,IF(Data!K71&lt;=MEDIAN(Data!K$4:K$195),2,IF(Data!K71&lt;=QUARTILE(Data!K$4:K$195,3),3,4)))</f>
        <v>1</v>
      </c>
      <c r="L71" s="15">
        <f>IF(Data!L71&lt;=QUARTILE(Data!L$4:L$195,1),1,IF(Data!L71&lt;=MEDIAN(Data!L$4:L$195),2,IF(Data!L71&lt;=QUARTILE(Data!L$4:L$195,3),3,4)))</f>
        <v>1</v>
      </c>
      <c r="M71" s="14">
        <f>IF(Data!M71&lt;=QUARTILE(Data!M$4:M$195,1),1,IF(Data!M71&lt;=MEDIAN(Data!M$4:M$195),2,IF(Data!M71&lt;=QUARTILE(Data!M$4:M$195,3),3,4)))</f>
        <v>1</v>
      </c>
      <c r="N71" s="19">
        <f>IF(Data!N71&lt;=QUARTILE(Data!N$4:N$195,1),1,IF(Data!N71&lt;=MEDIAN(Data!N$4:N$195),2,IF(Data!N71&lt;=QUARTILE(Data!N$4:N$195,3),3,4)))</f>
        <v>1</v>
      </c>
      <c r="O71" s="19">
        <f>IF(Data!O71&lt;=QUARTILE(Data!O$4:O$195,1),1,IF(Data!O71&lt;=MEDIAN(Data!O$4:O$195),2,IF(Data!O71&lt;=QUARTILE(Data!O$4:O$195,3),3,4)))</f>
        <v>1</v>
      </c>
      <c r="P71" s="19">
        <f>IF(Data!P71&lt;=QUARTILE(Data!P$4:P$195,1),1,IF(Data!P71&lt;=MEDIAN(Data!P$4:P$195),2,IF(Data!P71&lt;=QUARTILE(Data!P$4:P$195,3),3,4)))</f>
        <v>1</v>
      </c>
      <c r="Q71" s="19">
        <f>IF(Data!Q71&lt;=QUARTILE(Data!Q$4:Q$195,1),1,IF(Data!Q71&lt;=MEDIAN(Data!Q$4:Q$195),2,IF(Data!Q71&lt;=QUARTILE(Data!Q$4:Q$195,3),3,4)))</f>
        <v>1</v>
      </c>
      <c r="R71" s="19">
        <f>IF(Data!R71&lt;=QUARTILE(Data!R$4:R$195,1),1,IF(Data!R71&lt;=MEDIAN(Data!R$4:R$195),2,IF(Data!R71&lt;=QUARTILE(Data!R$4:R$195,3),3,4)))</f>
        <v>2</v>
      </c>
      <c r="S71" s="19">
        <f>IF(Data!S71&lt;=QUARTILE(Data!S$4:S$195,1),1,IF(Data!S71&lt;=MEDIAN(Data!S$4:S$195),2,IF(Data!S71&lt;=QUARTILE(Data!S$4:S$195,3),3,4)))</f>
        <v>1</v>
      </c>
      <c r="T71" s="19">
        <f>IF(Data!T71&lt;=QUARTILE(Data!T$4:T$195,1),1,IF(Data!T71&lt;=MEDIAN(Data!T$4:T$195),2,IF(Data!T71&lt;=QUARTILE(Data!T$4:T$195,3),3,4)))</f>
        <v>2</v>
      </c>
      <c r="U71" s="14">
        <f>IF(Data!U71&lt;=QUARTILE(Data!U$4:U$195,1),1,IF(Data!U71&lt;=MEDIAN(Data!U$4:U$195),2,IF(Data!U71&lt;=QUARTILE(Data!U$4:U$195,3),3,4)))</f>
        <v>3</v>
      </c>
      <c r="V71" s="19">
        <f>IF(Data!V71&lt;=QUARTILE(Data!V$4:V$195,1),1,IF(Data!V71&lt;=MEDIAN(Data!V$4:V$195),2,IF(Data!V71&lt;=QUARTILE(Data!V$4:V$195,3),3,4)))</f>
        <v>2</v>
      </c>
      <c r="W71" s="19">
        <f>IF(Data!W71&lt;=QUARTILE(Data!W$4:W$195,1),1,IF(Data!W71&lt;=MEDIAN(Data!W$4:W$195),2,IF(Data!W71&lt;=QUARTILE(Data!W$4:W$195,3),3,4)))</f>
        <v>1</v>
      </c>
      <c r="X71" s="15">
        <f>IF(Data!X71&lt;=QUARTILE(Data!X$4:X$195,1),1,IF(Data!X71&lt;=MEDIAN(Data!X$4:X$195),2,IF(Data!X71&lt;=QUARTILE(Data!X$4:X$195,3),3,4)))</f>
        <v>2</v>
      </c>
      <c r="Y71" s="14">
        <f>IF(Data!Y71&lt;=QUARTILE(Data!Y$4:Y$195,1),1,IF(Data!Y71&lt;=MEDIAN(Data!Y$4:Y$195),2,IF(Data!Y71&lt;=QUARTILE(Data!Y$4:Y$195,3),3,4)))</f>
        <v>2</v>
      </c>
      <c r="Z71" s="22">
        <f>IF(Data!Z71&lt;=QUARTILE(Data!Z$4:Z$195,1),1,IF(Data!Z71&lt;=MEDIAN(Data!Z$4:Z$195),2,IF(Data!Z71&lt;=QUARTILE(Data!Z$4:Z$195,3),3,4)))</f>
        <v>1</v>
      </c>
      <c r="AA71" s="14">
        <f>IF(Data!AA71&lt;=QUARTILE(Data!AA$4:AA$195,1),1,IF(Data!AA71&lt;=MEDIAN(Data!AA$4:AA$195),2,IF(Data!AA71&lt;=QUARTILE(Data!AA$4:AA$195,3),3,4)))</f>
        <v>2</v>
      </c>
      <c r="AB71" s="15">
        <f>IF(Data!AB71&lt;=QUARTILE(Data!AB$4:AB$195,1),1,IF(Data!AB71&lt;=MEDIAN(Data!AB$4:AB$195),2,IF(Data!AB71&lt;=QUARTILE(Data!AB$4:AB$195,3),3,4)))</f>
        <v>4</v>
      </c>
      <c r="AC71" s="14">
        <f>IF(Data!AC71&lt;=QUARTILE(Data!AC$4:AC$195,1),1,IF(Data!AC71&lt;=MEDIAN(Data!AC$4:AC$195),2,IF(Data!AC71&lt;=QUARTILE(Data!AC$4:AC$195,3),3,4)))</f>
        <v>3</v>
      </c>
      <c r="AD71" s="19">
        <f>IF(Data!AD71&lt;=QUARTILE(Data!AD$4:AD$195,1),1,IF(Data!AD71&lt;=MEDIAN(Data!AD$4:AD$195),2,IF(Data!AD71&lt;=QUARTILE(Data!AD$4:AD$195,3),3,4)))</f>
        <v>2</v>
      </c>
      <c r="AE71" s="14">
        <f>IF(Data!AE71&lt;=QUARTILE(Data!AE$4:AE$195,1),1,IF(Data!AE71&lt;=MEDIAN(Data!AE$4:AE$195),2,IF(Data!AE71&lt;=QUARTILE(Data!AE$4:AE$195,3),3,4)))</f>
        <v>2</v>
      </c>
      <c r="AF71" s="19">
        <f>IF(Data!AF71&lt;=QUARTILE(Data!AF$4:AF$195,1),1,IF(Data!AF71&lt;=MEDIAN(Data!AF$4:AF$195),2,IF(Data!AF71&lt;=QUARTILE(Data!AF$4:AF$195,3),3,4)))</f>
        <v>3</v>
      </c>
      <c r="AG71" s="19">
        <f>IF(Data!AG71&lt;=QUARTILE(Data!AG$4:AG$195,1),1,IF(Data!AG71&lt;=MEDIAN(Data!AG$4:AG$195),2,IF(Data!AG71&lt;=QUARTILE(Data!AG$4:AG$195,3),3,4)))</f>
        <v>1</v>
      </c>
      <c r="AH71" s="15">
        <f>IF(Data!AH71&lt;=QUARTILE(Data!AH$4:AH$195,1),1,IF(Data!AH71&lt;=MEDIAN(Data!AH$4:AH$195),2,IF(Data!AH71&lt;=QUARTILE(Data!AH$4:AH$195,3),3,4)))</f>
        <v>1</v>
      </c>
      <c r="AI71" s="14">
        <f>IF(Data!AI71&lt;=QUARTILE(Data!AI$4:AI$195,1),1,IF(Data!AI71&lt;=MEDIAN(Data!AI$4:AI$195),2,IF(Data!AI71&lt;=QUARTILE(Data!AI$4:AI$195,3),3,4)))</f>
        <v>3</v>
      </c>
      <c r="AJ71" s="15">
        <f>IF(Data!AJ71&lt;=QUARTILE(Data!AJ$4:AJ$195,1),1,IF(Data!AJ71&lt;=MEDIAN(Data!AJ$4:AJ$195),2,IF(Data!AJ71&lt;=QUARTILE(Data!AJ$4:AJ$195,3),3,4)))</f>
        <v>3</v>
      </c>
      <c r="AK71" s="14">
        <f>IF(Data!AK71&lt;=QUARTILE(Data!AK$4:AK$195,1),1,IF(Data!AK71&lt;=MEDIAN(Data!AK$4:AK$195),2,IF(Data!AK71&lt;=QUARTILE(Data!AK$4:AK$195,3),3,4)))</f>
        <v>3</v>
      </c>
      <c r="AL71" s="19">
        <f>IF(Data!AL71&lt;=QUARTILE(Data!AL$4:AL$195,1),1,IF(Data!AL71&lt;=MEDIAN(Data!AL$4:AL$195),2,IF(Data!AL71&lt;=QUARTILE(Data!AL$4:AL$195,3),3,4)))</f>
        <v>4</v>
      </c>
      <c r="AM71" s="19">
        <f>IF(Data!AM71&lt;=QUARTILE(Data!AM$4:AM$195,1),1,IF(Data!AM71&lt;=MEDIAN(Data!AM$4:AM$195),2,IF(Data!AM71&lt;=QUARTILE(Data!AM$4:AM$195,3),3,4)))</f>
        <v>4</v>
      </c>
      <c r="AN71" s="15">
        <f>IF(Data!AN71&lt;=QUARTILE(Data!AN$4:AN$195,1),1,IF(Data!AN71&lt;=MEDIAN(Data!AN$4:AN$195),2,IF(Data!AN71&lt;=QUARTILE(Data!AN$4:AN$195,3),3,4)))</f>
        <v>4</v>
      </c>
      <c r="AO71" s="14">
        <f>IF(Data!AO71&lt;=QUARTILE(Data!AO$4:AO$195,1),1,IF(Data!AO71&lt;=MEDIAN(Data!AO$4:AO$195),2,IF(Data!AO71&lt;=QUARTILE(Data!AO$4:AO$195,3),3,4)))</f>
        <v>4</v>
      </c>
      <c r="AP71" s="19">
        <f>IF(Data!AP71&lt;=QUARTILE(Data!AP$4:AP$195,1),1,IF(Data!AP71&lt;=MEDIAN(Data!AP$4:AP$195),2,IF(Data!AP71&lt;=QUARTILE(Data!AP$4:AP$195,3),3,4)))</f>
        <v>4</v>
      </c>
      <c r="AQ71" s="19">
        <f>IF(Data!AQ71&lt;=QUARTILE(Data!AQ$4:AQ$195,1),1,IF(Data!AQ71&lt;=MEDIAN(Data!AQ$4:AQ$195),2,IF(Data!AQ71&lt;=QUARTILE(Data!AQ$4:AQ$195,3),3,4)))</f>
        <v>4</v>
      </c>
      <c r="AR71" s="19">
        <f>IF(Data!AR71&lt;=QUARTILE(Data!AR$4:AR$195,1),1,IF(Data!AR71&lt;=MEDIAN(Data!AR$4:AR$195),2,IF(Data!AR71&lt;=QUARTILE(Data!AR$4:AR$195,3),3,4)))</f>
        <v>2</v>
      </c>
      <c r="AS71" s="19">
        <f>IF(Data!AS71&lt;=QUARTILE(Data!AS$4:AS$195,1),1,IF(Data!AS71&lt;=MEDIAN(Data!AS$4:AS$195),2,IF(Data!AS71&lt;=QUARTILE(Data!AS$4:AS$195,3),3,4)))</f>
        <v>4</v>
      </c>
      <c r="AT71" s="19">
        <f>IF(Data!AT71&lt;=QUARTILE(Data!AT$4:AT$195,1),1,IF(Data!AT71&lt;=MEDIAN(Data!AT$4:AT$195),2,IF(Data!AT71&lt;=QUARTILE(Data!AT$4:AT$195,3),3,4)))</f>
        <v>1</v>
      </c>
      <c r="AU71" s="19">
        <f>IF(Data!AU71&lt;=QUARTILE(Data!AU$4:AU$195,1),1,IF(Data!AU71&lt;=MEDIAN(Data!AU$4:AU$195),2,IF(Data!AU71&lt;=QUARTILE(Data!AU$4:AU$195,3),3,4)))</f>
        <v>1</v>
      </c>
      <c r="AV71" s="14">
        <f>IF(Data!AV71&lt;=QUARTILE(Data!AV$4:AV$195,1),1,IF(Data!AV71&lt;=MEDIAN(Data!AV$4:AV$195),2,IF(Data!AV71&lt;=QUARTILE(Data!AV$4:AV$195,3),3,4)))</f>
        <v>3</v>
      </c>
      <c r="AW71" s="19">
        <f>IF(Data!AW71&lt;=QUARTILE(Data!AW$4:AW$195,1),1,IF(Data!AW71&lt;=MEDIAN(Data!AW$4:AW$195),2,IF(Data!AW71&lt;=QUARTILE(Data!AW$4:AW$195,3),3,4)))</f>
        <v>3</v>
      </c>
      <c r="AX71" s="19">
        <f>IF(Data!AX71&lt;=QUARTILE(Data!AX$4:AX$195,1),1,IF(Data!AX71&lt;=MEDIAN(Data!AX$4:AX$195),2,IF(Data!AX71&lt;=QUARTILE(Data!AX$4:AX$195,3),3,4)))</f>
        <v>3</v>
      </c>
      <c r="AY71" s="15">
        <f>IF(Data!AY71&lt;=QUARTILE(Data!AY$4:AY$195,1),1,IF(Data!AY71&lt;=MEDIAN(Data!AY$4:AY$195),2,IF(Data!AY71&lt;=QUARTILE(Data!AY$4:AY$195,3),3,4)))</f>
        <v>3</v>
      </c>
      <c r="AZ71" s="14">
        <f>IF(Data!AZ71&lt;=QUARTILE(Data!AZ$4:AZ$195,1),1,IF(Data!AZ71&lt;=MEDIAN(Data!AZ$4:AZ$195),2,IF(Data!AZ71&lt;=QUARTILE(Data!AZ$4:AZ$195,3),3,4)))</f>
        <v>3</v>
      </c>
      <c r="BA71" s="15">
        <f>IF(Data!BA71&lt;=QUARTILE(Data!BA$4:BA$195,1),1,IF(Data!BA71&lt;=MEDIAN(Data!BA$4:BA$195),2,IF(Data!BA71&lt;=QUARTILE(Data!BA$4:BA$195,3),3,4)))</f>
        <v>3</v>
      </c>
    </row>
    <row r="72" spans="1:53" x14ac:dyDescent="0.25">
      <c r="A72" s="4" t="s">
        <v>29</v>
      </c>
      <c r="B72" s="40">
        <v>2007</v>
      </c>
      <c r="C72" s="14">
        <v>7</v>
      </c>
      <c r="D72" s="19">
        <v>9</v>
      </c>
      <c r="E72" s="74" t="s">
        <v>96</v>
      </c>
      <c r="F72" s="19">
        <v>-5.8</v>
      </c>
      <c r="G72" s="19">
        <v>-5.7</v>
      </c>
      <c r="H72" s="15">
        <v>-0.1</v>
      </c>
      <c r="I72" s="14">
        <f>IF(Data!I72&lt;=QUARTILE(Data!I$4:I$195,1),1,IF(Data!I72&lt;=MEDIAN(Data!I$4:I$195),2,IF(Data!I72&lt;=QUARTILE(Data!I$4:I$195,3),3,4)))</f>
        <v>1</v>
      </c>
      <c r="J72" s="19">
        <f>IF(Data!J72&lt;=QUARTILE(Data!J$4:J$195,1),1,IF(Data!J72&lt;=MEDIAN(Data!J$4:J$195),2,IF(Data!J72&lt;=QUARTILE(Data!J$4:J$195,3),3,4)))</f>
        <v>1</v>
      </c>
      <c r="K72" s="19">
        <f>IF(Data!K72&lt;=QUARTILE(Data!K$4:K$195,1),1,IF(Data!K72&lt;=MEDIAN(Data!K$4:K$195),2,IF(Data!K72&lt;=QUARTILE(Data!K$4:K$195,3),3,4)))</f>
        <v>2</v>
      </c>
      <c r="L72" s="15">
        <f>IF(Data!L72&lt;=QUARTILE(Data!L$4:L$195,1),1,IF(Data!L72&lt;=MEDIAN(Data!L$4:L$195),2,IF(Data!L72&lt;=QUARTILE(Data!L$4:L$195,3),3,4)))</f>
        <v>1</v>
      </c>
      <c r="M72" s="14">
        <f>IF(Data!M72&lt;=QUARTILE(Data!M$4:M$195,1),1,IF(Data!M72&lt;=MEDIAN(Data!M$4:M$195),2,IF(Data!M72&lt;=QUARTILE(Data!M$4:M$195,3),3,4)))</f>
        <v>2</v>
      </c>
      <c r="N72" s="19">
        <f>IF(Data!N72&lt;=QUARTILE(Data!N$4:N$195,1),1,IF(Data!N72&lt;=MEDIAN(Data!N$4:N$195),2,IF(Data!N72&lt;=QUARTILE(Data!N$4:N$195,3),3,4)))</f>
        <v>2</v>
      </c>
      <c r="O72" s="19">
        <f>IF(Data!O72&lt;=QUARTILE(Data!O$4:O$195,1),1,IF(Data!O72&lt;=MEDIAN(Data!O$4:O$195),2,IF(Data!O72&lt;=QUARTILE(Data!O$4:O$195,3),3,4)))</f>
        <v>1</v>
      </c>
      <c r="P72" s="19">
        <f>IF(Data!P72&lt;=QUARTILE(Data!P$4:P$195,1),1,IF(Data!P72&lt;=MEDIAN(Data!P$4:P$195),2,IF(Data!P72&lt;=QUARTILE(Data!P$4:P$195,3),3,4)))</f>
        <v>2</v>
      </c>
      <c r="Q72" s="19">
        <f>IF(Data!Q72&lt;=QUARTILE(Data!Q$4:Q$195,1),1,IF(Data!Q72&lt;=MEDIAN(Data!Q$4:Q$195),2,IF(Data!Q72&lt;=QUARTILE(Data!Q$4:Q$195,3),3,4)))</f>
        <v>1</v>
      </c>
      <c r="R72" s="19">
        <f>IF(Data!R72&lt;=QUARTILE(Data!R$4:R$195,1),1,IF(Data!R72&lt;=MEDIAN(Data!R$4:R$195),2,IF(Data!R72&lt;=QUARTILE(Data!R$4:R$195,3),3,4)))</f>
        <v>1</v>
      </c>
      <c r="S72" s="19">
        <f>IF(Data!S72&lt;=QUARTILE(Data!S$4:S$195,1),1,IF(Data!S72&lt;=MEDIAN(Data!S$4:S$195),2,IF(Data!S72&lt;=QUARTILE(Data!S$4:S$195,3),3,4)))</f>
        <v>2</v>
      </c>
      <c r="T72" s="19">
        <f>IF(Data!T72&lt;=QUARTILE(Data!T$4:T$195,1),1,IF(Data!T72&lt;=MEDIAN(Data!T$4:T$195),2,IF(Data!T72&lt;=QUARTILE(Data!T$4:T$195,3),3,4)))</f>
        <v>2</v>
      </c>
      <c r="U72" s="14">
        <f>IF(Data!U72&lt;=QUARTILE(Data!U$4:U$195,1),1,IF(Data!U72&lt;=MEDIAN(Data!U$4:U$195),2,IF(Data!U72&lt;=QUARTILE(Data!U$4:U$195,3),3,4)))</f>
        <v>3</v>
      </c>
      <c r="V72" s="19">
        <f>IF(Data!V72&lt;=QUARTILE(Data!V$4:V$195,1),1,IF(Data!V72&lt;=MEDIAN(Data!V$4:V$195),2,IF(Data!V72&lt;=QUARTILE(Data!V$4:V$195,3),3,4)))</f>
        <v>3</v>
      </c>
      <c r="W72" s="19">
        <f>IF(Data!W72&lt;=QUARTILE(Data!W$4:W$195,1),1,IF(Data!W72&lt;=MEDIAN(Data!W$4:W$195),2,IF(Data!W72&lt;=QUARTILE(Data!W$4:W$195,3),3,4)))</f>
        <v>1</v>
      </c>
      <c r="X72" s="15">
        <f>IF(Data!X72&lt;=QUARTILE(Data!X$4:X$195,1),1,IF(Data!X72&lt;=MEDIAN(Data!X$4:X$195),2,IF(Data!X72&lt;=QUARTILE(Data!X$4:X$195,3),3,4)))</f>
        <v>2</v>
      </c>
      <c r="Y72" s="14">
        <f>IF(Data!Y72&lt;=QUARTILE(Data!Y$4:Y$195,1),1,IF(Data!Y72&lt;=MEDIAN(Data!Y$4:Y$195),2,IF(Data!Y72&lt;=QUARTILE(Data!Y$4:Y$195,3),3,4)))</f>
        <v>3</v>
      </c>
      <c r="Z72" s="22">
        <f>IF(Data!Z72&lt;=QUARTILE(Data!Z$4:Z$195,1),1,IF(Data!Z72&lt;=MEDIAN(Data!Z$4:Z$195),2,IF(Data!Z72&lt;=QUARTILE(Data!Z$4:Z$195,3),3,4)))</f>
        <v>2</v>
      </c>
      <c r="AA72" s="14">
        <f>IF(Data!AA72&lt;=QUARTILE(Data!AA$4:AA$195,1),1,IF(Data!AA72&lt;=MEDIAN(Data!AA$4:AA$195),2,IF(Data!AA72&lt;=QUARTILE(Data!AA$4:AA$195,3),3,4)))</f>
        <v>2</v>
      </c>
      <c r="AB72" s="15">
        <f>IF(Data!AB72&lt;=QUARTILE(Data!AB$4:AB$195,1),1,IF(Data!AB72&lt;=MEDIAN(Data!AB$4:AB$195),2,IF(Data!AB72&lt;=QUARTILE(Data!AB$4:AB$195,3),3,4)))</f>
        <v>2</v>
      </c>
      <c r="AC72" s="14">
        <f>IF(Data!AC72&lt;=QUARTILE(Data!AC$4:AC$195,1),1,IF(Data!AC72&lt;=MEDIAN(Data!AC$4:AC$195),2,IF(Data!AC72&lt;=QUARTILE(Data!AC$4:AC$195,3),3,4)))</f>
        <v>2</v>
      </c>
      <c r="AD72" s="19">
        <f>IF(Data!AD72&lt;=QUARTILE(Data!AD$4:AD$195,1),1,IF(Data!AD72&lt;=MEDIAN(Data!AD$4:AD$195),2,IF(Data!AD72&lt;=QUARTILE(Data!AD$4:AD$195,3),3,4)))</f>
        <v>1</v>
      </c>
      <c r="AE72" s="14">
        <f>IF(Data!AE72&lt;=QUARTILE(Data!AE$4:AE$195,1),1,IF(Data!AE72&lt;=MEDIAN(Data!AE$4:AE$195),2,IF(Data!AE72&lt;=QUARTILE(Data!AE$4:AE$195,3),3,4)))</f>
        <v>2</v>
      </c>
      <c r="AF72" s="19">
        <f>IF(Data!AF72&lt;=QUARTILE(Data!AF$4:AF$195,1),1,IF(Data!AF72&lt;=MEDIAN(Data!AF$4:AF$195),2,IF(Data!AF72&lt;=QUARTILE(Data!AF$4:AF$195,3),3,4)))</f>
        <v>2</v>
      </c>
      <c r="AG72" s="19">
        <f>IF(Data!AG72&lt;=QUARTILE(Data!AG$4:AG$195,1),1,IF(Data!AG72&lt;=MEDIAN(Data!AG$4:AG$195),2,IF(Data!AG72&lt;=QUARTILE(Data!AG$4:AG$195,3),3,4)))</f>
        <v>2</v>
      </c>
      <c r="AH72" s="15">
        <f>IF(Data!AH72&lt;=QUARTILE(Data!AH$4:AH$195,1),1,IF(Data!AH72&lt;=MEDIAN(Data!AH$4:AH$195),2,IF(Data!AH72&lt;=QUARTILE(Data!AH$4:AH$195,3),3,4)))</f>
        <v>2</v>
      </c>
      <c r="AI72" s="14">
        <f>IF(Data!AI72&lt;=QUARTILE(Data!AI$4:AI$195,1),1,IF(Data!AI72&lt;=MEDIAN(Data!AI$4:AI$195),2,IF(Data!AI72&lt;=QUARTILE(Data!AI$4:AI$195,3),3,4)))</f>
        <v>4</v>
      </c>
      <c r="AJ72" s="15">
        <f>IF(Data!AJ72&lt;=QUARTILE(Data!AJ$4:AJ$195,1),1,IF(Data!AJ72&lt;=MEDIAN(Data!AJ$4:AJ$195),2,IF(Data!AJ72&lt;=QUARTILE(Data!AJ$4:AJ$195,3),3,4)))</f>
        <v>4</v>
      </c>
      <c r="AK72" s="14">
        <f>IF(Data!AK72&lt;=QUARTILE(Data!AK$4:AK$195,1),1,IF(Data!AK72&lt;=MEDIAN(Data!AK$4:AK$195),2,IF(Data!AK72&lt;=QUARTILE(Data!AK$4:AK$195,3),3,4)))</f>
        <v>3</v>
      </c>
      <c r="AL72" s="19">
        <f>IF(Data!AL72&lt;=QUARTILE(Data!AL$4:AL$195,1),1,IF(Data!AL72&lt;=MEDIAN(Data!AL$4:AL$195),2,IF(Data!AL72&lt;=QUARTILE(Data!AL$4:AL$195,3),3,4)))</f>
        <v>2</v>
      </c>
      <c r="AM72" s="19">
        <f>IF(Data!AM72&lt;=QUARTILE(Data!AM$4:AM$195,1),1,IF(Data!AM72&lt;=MEDIAN(Data!AM$4:AM$195),2,IF(Data!AM72&lt;=QUARTILE(Data!AM$4:AM$195,3),3,4)))</f>
        <v>4</v>
      </c>
      <c r="AN72" s="15">
        <f>IF(Data!AN72&lt;=QUARTILE(Data!AN$4:AN$195,1),1,IF(Data!AN72&lt;=MEDIAN(Data!AN$4:AN$195),2,IF(Data!AN72&lt;=QUARTILE(Data!AN$4:AN$195,3),3,4)))</f>
        <v>3</v>
      </c>
      <c r="AO72" s="14">
        <f>IF(Data!AO72&lt;=QUARTILE(Data!AO$4:AO$195,1),1,IF(Data!AO72&lt;=MEDIAN(Data!AO$4:AO$195),2,IF(Data!AO72&lt;=QUARTILE(Data!AO$4:AO$195,3),3,4)))</f>
        <v>4</v>
      </c>
      <c r="AP72" s="19">
        <f>IF(Data!AP72&lt;=QUARTILE(Data!AP$4:AP$195,1),1,IF(Data!AP72&lt;=MEDIAN(Data!AP$4:AP$195),2,IF(Data!AP72&lt;=QUARTILE(Data!AP$4:AP$195,3),3,4)))</f>
        <v>3</v>
      </c>
      <c r="AQ72" s="19">
        <f>IF(Data!AQ72&lt;=QUARTILE(Data!AQ$4:AQ$195,1),1,IF(Data!AQ72&lt;=MEDIAN(Data!AQ$4:AQ$195),2,IF(Data!AQ72&lt;=QUARTILE(Data!AQ$4:AQ$195,3),3,4)))</f>
        <v>3</v>
      </c>
      <c r="AR72" s="19">
        <f>IF(Data!AR72&lt;=QUARTILE(Data!AR$4:AR$195,1),1,IF(Data!AR72&lt;=MEDIAN(Data!AR$4:AR$195),2,IF(Data!AR72&lt;=QUARTILE(Data!AR$4:AR$195,3),3,4)))</f>
        <v>3</v>
      </c>
      <c r="AS72" s="19">
        <f>IF(Data!AS72&lt;=QUARTILE(Data!AS$4:AS$195,1),1,IF(Data!AS72&lt;=MEDIAN(Data!AS$4:AS$195),2,IF(Data!AS72&lt;=QUARTILE(Data!AS$4:AS$195,3),3,4)))</f>
        <v>2</v>
      </c>
      <c r="AT72" s="19">
        <f>IF(Data!AT72&lt;=QUARTILE(Data!AT$4:AT$195,1),1,IF(Data!AT72&lt;=MEDIAN(Data!AT$4:AT$195),2,IF(Data!AT72&lt;=QUARTILE(Data!AT$4:AT$195,3),3,4)))</f>
        <v>1</v>
      </c>
      <c r="AU72" s="19">
        <f>IF(Data!AU72&lt;=QUARTILE(Data!AU$4:AU$195,1),1,IF(Data!AU72&lt;=MEDIAN(Data!AU$4:AU$195),2,IF(Data!AU72&lt;=QUARTILE(Data!AU$4:AU$195,3),3,4)))</f>
        <v>1</v>
      </c>
      <c r="AV72" s="14">
        <f>IF(Data!AV72&lt;=QUARTILE(Data!AV$4:AV$195,1),1,IF(Data!AV72&lt;=MEDIAN(Data!AV$4:AV$195),2,IF(Data!AV72&lt;=QUARTILE(Data!AV$4:AV$195,3),3,4)))</f>
        <v>3</v>
      </c>
      <c r="AW72" s="19">
        <f>IF(Data!AW72&lt;=QUARTILE(Data!AW$4:AW$195,1),1,IF(Data!AW72&lt;=MEDIAN(Data!AW$4:AW$195),2,IF(Data!AW72&lt;=QUARTILE(Data!AW$4:AW$195,3),3,4)))</f>
        <v>2</v>
      </c>
      <c r="AX72" s="19">
        <f>IF(Data!AX72&lt;=QUARTILE(Data!AX$4:AX$195,1),1,IF(Data!AX72&lt;=MEDIAN(Data!AX$4:AX$195),2,IF(Data!AX72&lt;=QUARTILE(Data!AX$4:AX$195,3),3,4)))</f>
        <v>2</v>
      </c>
      <c r="AY72" s="15">
        <f>IF(Data!AY72&lt;=QUARTILE(Data!AY$4:AY$195,1),1,IF(Data!AY72&lt;=MEDIAN(Data!AY$4:AY$195),2,IF(Data!AY72&lt;=QUARTILE(Data!AY$4:AY$195,3),3,4)))</f>
        <v>3</v>
      </c>
      <c r="AZ72" s="14">
        <f>IF(Data!AZ72&lt;=QUARTILE(Data!AZ$4:AZ$195,1),1,IF(Data!AZ72&lt;=MEDIAN(Data!AZ$4:AZ$195),2,IF(Data!AZ72&lt;=QUARTILE(Data!AZ$4:AZ$195,3),3,4)))</f>
        <v>2</v>
      </c>
      <c r="BA72" s="15">
        <f>IF(Data!BA72&lt;=QUARTILE(Data!BA$4:BA$195,1),1,IF(Data!BA72&lt;=MEDIAN(Data!BA$4:BA$195),2,IF(Data!BA72&lt;=QUARTILE(Data!BA$4:BA$195,3),3,4)))</f>
        <v>4</v>
      </c>
    </row>
    <row r="73" spans="1:53" x14ac:dyDescent="0.25">
      <c r="A73" s="4" t="s">
        <v>25</v>
      </c>
      <c r="B73" s="40">
        <v>2007</v>
      </c>
      <c r="C73" s="14">
        <v>7</v>
      </c>
      <c r="D73" s="19">
        <v>9</v>
      </c>
      <c r="E73" s="74" t="s">
        <v>96</v>
      </c>
      <c r="F73" s="19">
        <v>1.2</v>
      </c>
      <c r="G73" s="19">
        <v>-0.2</v>
      </c>
      <c r="H73" s="15">
        <v>1.4</v>
      </c>
      <c r="I73" s="14">
        <f>IF(Data!I73&lt;=QUARTILE(Data!I$4:I$195,1),1,IF(Data!I73&lt;=MEDIAN(Data!I$4:I$195),2,IF(Data!I73&lt;=QUARTILE(Data!I$4:I$195,3),3,4)))</f>
        <v>2</v>
      </c>
      <c r="J73" s="19">
        <f>IF(Data!J73&lt;=QUARTILE(Data!J$4:J$195,1),1,IF(Data!J73&lt;=MEDIAN(Data!J$4:J$195),2,IF(Data!J73&lt;=QUARTILE(Data!J$4:J$195,3),3,4)))</f>
        <v>1</v>
      </c>
      <c r="K73" s="19">
        <f>IF(Data!K73&lt;=QUARTILE(Data!K$4:K$195,1),1,IF(Data!K73&lt;=MEDIAN(Data!K$4:K$195),2,IF(Data!K73&lt;=QUARTILE(Data!K$4:K$195,3),3,4)))</f>
        <v>4</v>
      </c>
      <c r="L73" s="15">
        <f>IF(Data!L73&lt;=QUARTILE(Data!L$4:L$195,1),1,IF(Data!L73&lt;=MEDIAN(Data!L$4:L$195),2,IF(Data!L73&lt;=QUARTILE(Data!L$4:L$195,3),3,4)))</f>
        <v>1</v>
      </c>
      <c r="M73" s="14">
        <f>IF(Data!M73&lt;=QUARTILE(Data!M$4:M$195,1),1,IF(Data!M73&lt;=MEDIAN(Data!M$4:M$195),2,IF(Data!M73&lt;=QUARTILE(Data!M$4:M$195,3),3,4)))</f>
        <v>3</v>
      </c>
      <c r="N73" s="19">
        <f>IF(Data!N73&lt;=QUARTILE(Data!N$4:N$195,1),1,IF(Data!N73&lt;=MEDIAN(Data!N$4:N$195),2,IF(Data!N73&lt;=QUARTILE(Data!N$4:N$195,3),3,4)))</f>
        <v>4</v>
      </c>
      <c r="O73" s="19">
        <f>IF(Data!O73&lt;=QUARTILE(Data!O$4:O$195,1),1,IF(Data!O73&lt;=MEDIAN(Data!O$4:O$195),2,IF(Data!O73&lt;=QUARTILE(Data!O$4:O$195,3),3,4)))</f>
        <v>3</v>
      </c>
      <c r="P73" s="19">
        <f>IF(Data!P73&lt;=QUARTILE(Data!P$4:P$195,1),1,IF(Data!P73&lt;=MEDIAN(Data!P$4:P$195),2,IF(Data!P73&lt;=QUARTILE(Data!P$4:P$195,3),3,4)))</f>
        <v>2</v>
      </c>
      <c r="Q73" s="19">
        <f>IF(Data!Q73&lt;=QUARTILE(Data!Q$4:Q$195,1),1,IF(Data!Q73&lt;=MEDIAN(Data!Q$4:Q$195),2,IF(Data!Q73&lt;=QUARTILE(Data!Q$4:Q$195,3),3,4)))</f>
        <v>2</v>
      </c>
      <c r="R73" s="19">
        <f>IF(Data!R73&lt;=QUARTILE(Data!R$4:R$195,1),1,IF(Data!R73&lt;=MEDIAN(Data!R$4:R$195),2,IF(Data!R73&lt;=QUARTILE(Data!R$4:R$195,3),3,4)))</f>
        <v>1</v>
      </c>
      <c r="S73" s="19">
        <f>IF(Data!S73&lt;=QUARTILE(Data!S$4:S$195,1),1,IF(Data!S73&lt;=MEDIAN(Data!S$4:S$195),2,IF(Data!S73&lt;=QUARTILE(Data!S$4:S$195,3),3,4)))</f>
        <v>3</v>
      </c>
      <c r="T73" s="19">
        <f>IF(Data!T73&lt;=QUARTILE(Data!T$4:T$195,1),1,IF(Data!T73&lt;=MEDIAN(Data!T$4:T$195),2,IF(Data!T73&lt;=QUARTILE(Data!T$4:T$195,3),3,4)))</f>
        <v>4</v>
      </c>
      <c r="U73" s="14">
        <f>IF(Data!U73&lt;=QUARTILE(Data!U$4:U$195,1),1,IF(Data!U73&lt;=MEDIAN(Data!U$4:U$195),2,IF(Data!U73&lt;=QUARTILE(Data!U$4:U$195,3),3,4)))</f>
        <v>2</v>
      </c>
      <c r="V73" s="19">
        <f>IF(Data!V73&lt;=QUARTILE(Data!V$4:V$195,1),1,IF(Data!V73&lt;=MEDIAN(Data!V$4:V$195),2,IF(Data!V73&lt;=QUARTILE(Data!V$4:V$195,3),3,4)))</f>
        <v>1</v>
      </c>
      <c r="W73" s="19">
        <f>IF(Data!W73&lt;=QUARTILE(Data!W$4:W$195,1),1,IF(Data!W73&lt;=MEDIAN(Data!W$4:W$195),2,IF(Data!W73&lt;=QUARTILE(Data!W$4:W$195,3),3,4)))</f>
        <v>1</v>
      </c>
      <c r="X73" s="15">
        <f>IF(Data!X73&lt;=QUARTILE(Data!X$4:X$195,1),1,IF(Data!X73&lt;=MEDIAN(Data!X$4:X$195),2,IF(Data!X73&lt;=QUARTILE(Data!X$4:X$195,3),3,4)))</f>
        <v>1</v>
      </c>
      <c r="Y73" s="14">
        <f>IF(Data!Y73&lt;=QUARTILE(Data!Y$4:Y$195,1),1,IF(Data!Y73&lt;=MEDIAN(Data!Y$4:Y$195),2,IF(Data!Y73&lt;=QUARTILE(Data!Y$4:Y$195,3),3,4)))</f>
        <v>4</v>
      </c>
      <c r="Z73" s="22">
        <f>IF(Data!Z73&lt;=QUARTILE(Data!Z$4:Z$195,1),1,IF(Data!Z73&lt;=MEDIAN(Data!Z$4:Z$195),2,IF(Data!Z73&lt;=QUARTILE(Data!Z$4:Z$195,3),3,4)))</f>
        <v>3</v>
      </c>
      <c r="AA73" s="14">
        <f>IF(Data!AA73&lt;=QUARTILE(Data!AA$4:AA$195,1),1,IF(Data!AA73&lt;=MEDIAN(Data!AA$4:AA$195),2,IF(Data!AA73&lt;=QUARTILE(Data!AA$4:AA$195,3),3,4)))</f>
        <v>4</v>
      </c>
      <c r="AB73" s="15">
        <f>IF(Data!AB73&lt;=QUARTILE(Data!AB$4:AB$195,1),1,IF(Data!AB73&lt;=MEDIAN(Data!AB$4:AB$195),2,IF(Data!AB73&lt;=QUARTILE(Data!AB$4:AB$195,3),3,4)))</f>
        <v>4</v>
      </c>
      <c r="AC73" s="14">
        <f>IF(Data!AC73&lt;=QUARTILE(Data!AC$4:AC$195,1),1,IF(Data!AC73&lt;=MEDIAN(Data!AC$4:AC$195),2,IF(Data!AC73&lt;=QUARTILE(Data!AC$4:AC$195,3),3,4)))</f>
        <v>3</v>
      </c>
      <c r="AD73" s="19">
        <f>IF(Data!AD73&lt;=QUARTILE(Data!AD$4:AD$195,1),1,IF(Data!AD73&lt;=MEDIAN(Data!AD$4:AD$195),2,IF(Data!AD73&lt;=QUARTILE(Data!AD$4:AD$195,3),3,4)))</f>
        <v>1</v>
      </c>
      <c r="AE73" s="14">
        <f>IF(Data!AE73&lt;=QUARTILE(Data!AE$4:AE$195,1),1,IF(Data!AE73&lt;=MEDIAN(Data!AE$4:AE$195),2,IF(Data!AE73&lt;=QUARTILE(Data!AE$4:AE$195,3),3,4)))</f>
        <v>3</v>
      </c>
      <c r="AF73" s="19">
        <f>IF(Data!AF73&lt;=QUARTILE(Data!AF$4:AF$195,1),1,IF(Data!AF73&lt;=MEDIAN(Data!AF$4:AF$195),2,IF(Data!AF73&lt;=QUARTILE(Data!AF$4:AF$195,3),3,4)))</f>
        <v>3</v>
      </c>
      <c r="AG73" s="19">
        <f>IF(Data!AG73&lt;=QUARTILE(Data!AG$4:AG$195,1),1,IF(Data!AG73&lt;=MEDIAN(Data!AG$4:AG$195),2,IF(Data!AG73&lt;=QUARTILE(Data!AG$4:AG$195,3),3,4)))</f>
        <v>4</v>
      </c>
      <c r="AH73" s="15">
        <f>IF(Data!AH73&lt;=QUARTILE(Data!AH$4:AH$195,1),1,IF(Data!AH73&lt;=MEDIAN(Data!AH$4:AH$195),2,IF(Data!AH73&lt;=QUARTILE(Data!AH$4:AH$195,3),3,4)))</f>
        <v>4</v>
      </c>
      <c r="AI73" s="14">
        <f>IF(Data!AI73&lt;=QUARTILE(Data!AI$4:AI$195,1),1,IF(Data!AI73&lt;=MEDIAN(Data!AI$4:AI$195),2,IF(Data!AI73&lt;=QUARTILE(Data!AI$4:AI$195,3),3,4)))</f>
        <v>4</v>
      </c>
      <c r="AJ73" s="15">
        <f>IF(Data!AJ73&lt;=QUARTILE(Data!AJ$4:AJ$195,1),1,IF(Data!AJ73&lt;=MEDIAN(Data!AJ$4:AJ$195),2,IF(Data!AJ73&lt;=QUARTILE(Data!AJ$4:AJ$195,3),3,4)))</f>
        <v>4</v>
      </c>
      <c r="AK73" s="14">
        <f>IF(Data!AK73&lt;=QUARTILE(Data!AK$4:AK$195,1),1,IF(Data!AK73&lt;=MEDIAN(Data!AK$4:AK$195),2,IF(Data!AK73&lt;=QUARTILE(Data!AK$4:AK$195,3),3,4)))</f>
        <v>3</v>
      </c>
      <c r="AL73" s="19">
        <f>IF(Data!AL73&lt;=QUARTILE(Data!AL$4:AL$195,1),1,IF(Data!AL73&lt;=MEDIAN(Data!AL$4:AL$195),2,IF(Data!AL73&lt;=QUARTILE(Data!AL$4:AL$195,3),3,4)))</f>
        <v>4</v>
      </c>
      <c r="AM73" s="19">
        <f>IF(Data!AM73&lt;=QUARTILE(Data!AM$4:AM$195,1),1,IF(Data!AM73&lt;=MEDIAN(Data!AM$4:AM$195),2,IF(Data!AM73&lt;=QUARTILE(Data!AM$4:AM$195,3),3,4)))</f>
        <v>4</v>
      </c>
      <c r="AN73" s="15">
        <f>IF(Data!AN73&lt;=QUARTILE(Data!AN$4:AN$195,1),1,IF(Data!AN73&lt;=MEDIAN(Data!AN$4:AN$195),2,IF(Data!AN73&lt;=QUARTILE(Data!AN$4:AN$195,3),3,4)))</f>
        <v>3</v>
      </c>
      <c r="AO73" s="14">
        <f>IF(Data!AO73&lt;=QUARTILE(Data!AO$4:AO$195,1),1,IF(Data!AO73&lt;=MEDIAN(Data!AO$4:AO$195),2,IF(Data!AO73&lt;=QUARTILE(Data!AO$4:AO$195,3),3,4)))</f>
        <v>4</v>
      </c>
      <c r="AP73" s="19">
        <f>IF(Data!AP73&lt;=QUARTILE(Data!AP$4:AP$195,1),1,IF(Data!AP73&lt;=MEDIAN(Data!AP$4:AP$195),2,IF(Data!AP73&lt;=QUARTILE(Data!AP$4:AP$195,3),3,4)))</f>
        <v>3</v>
      </c>
      <c r="AQ73" s="19">
        <f>IF(Data!AQ73&lt;=QUARTILE(Data!AQ$4:AQ$195,1),1,IF(Data!AQ73&lt;=MEDIAN(Data!AQ$4:AQ$195),2,IF(Data!AQ73&lt;=QUARTILE(Data!AQ$4:AQ$195,3),3,4)))</f>
        <v>4</v>
      </c>
      <c r="AR73" s="19">
        <f>IF(Data!AR73&lt;=QUARTILE(Data!AR$4:AR$195,1),1,IF(Data!AR73&lt;=MEDIAN(Data!AR$4:AR$195),2,IF(Data!AR73&lt;=QUARTILE(Data!AR$4:AR$195,3),3,4)))</f>
        <v>2</v>
      </c>
      <c r="AS73" s="19">
        <f>IF(Data!AS73&lt;=QUARTILE(Data!AS$4:AS$195,1),1,IF(Data!AS73&lt;=MEDIAN(Data!AS$4:AS$195),2,IF(Data!AS73&lt;=QUARTILE(Data!AS$4:AS$195,3),3,4)))</f>
        <v>3</v>
      </c>
      <c r="AT73" s="19">
        <f>IF(Data!AT73&lt;=QUARTILE(Data!AT$4:AT$195,1),1,IF(Data!AT73&lt;=MEDIAN(Data!AT$4:AT$195),2,IF(Data!AT73&lt;=QUARTILE(Data!AT$4:AT$195,3),3,4)))</f>
        <v>4</v>
      </c>
      <c r="AU73" s="19">
        <f>IF(Data!AU73&lt;=QUARTILE(Data!AU$4:AU$195,1),1,IF(Data!AU73&lt;=MEDIAN(Data!AU$4:AU$195),2,IF(Data!AU73&lt;=QUARTILE(Data!AU$4:AU$195,3),3,4)))</f>
        <v>3</v>
      </c>
      <c r="AV73" s="14">
        <f>IF(Data!AV73&lt;=QUARTILE(Data!AV$4:AV$195,1),1,IF(Data!AV73&lt;=MEDIAN(Data!AV$4:AV$195),2,IF(Data!AV73&lt;=QUARTILE(Data!AV$4:AV$195,3),3,4)))</f>
        <v>3</v>
      </c>
      <c r="AW73" s="19">
        <f>IF(Data!AW73&lt;=QUARTILE(Data!AW$4:AW$195,1),1,IF(Data!AW73&lt;=MEDIAN(Data!AW$4:AW$195),2,IF(Data!AW73&lt;=QUARTILE(Data!AW$4:AW$195,3),3,4)))</f>
        <v>3</v>
      </c>
      <c r="AX73" s="19">
        <f>IF(Data!AX73&lt;=QUARTILE(Data!AX$4:AX$195,1),1,IF(Data!AX73&lt;=MEDIAN(Data!AX$4:AX$195),2,IF(Data!AX73&lt;=QUARTILE(Data!AX$4:AX$195,3),3,4)))</f>
        <v>4</v>
      </c>
      <c r="AY73" s="15">
        <f>IF(Data!AY73&lt;=QUARTILE(Data!AY$4:AY$195,1),1,IF(Data!AY73&lt;=MEDIAN(Data!AY$4:AY$195),2,IF(Data!AY73&lt;=QUARTILE(Data!AY$4:AY$195,3),3,4)))</f>
        <v>3</v>
      </c>
      <c r="AZ73" s="14">
        <f>IF(Data!AZ73&lt;=QUARTILE(Data!AZ$4:AZ$195,1),1,IF(Data!AZ73&lt;=MEDIAN(Data!AZ$4:AZ$195),2,IF(Data!AZ73&lt;=QUARTILE(Data!AZ$4:AZ$195,3),3,4)))</f>
        <v>2</v>
      </c>
      <c r="BA73" s="15">
        <f>IF(Data!BA73&lt;=QUARTILE(Data!BA$4:BA$195,1),1,IF(Data!BA73&lt;=MEDIAN(Data!BA$4:BA$195),2,IF(Data!BA73&lt;=QUARTILE(Data!BA$4:BA$195,3),3,4)))</f>
        <v>4</v>
      </c>
    </row>
    <row r="74" spans="1:53" x14ac:dyDescent="0.25">
      <c r="A74" s="4" t="s">
        <v>7</v>
      </c>
      <c r="B74" s="40">
        <v>2007</v>
      </c>
      <c r="C74" s="14">
        <v>7</v>
      </c>
      <c r="D74" s="19">
        <v>9</v>
      </c>
      <c r="E74" s="74" t="s">
        <v>96</v>
      </c>
      <c r="F74" s="19">
        <v>-2.4</v>
      </c>
      <c r="G74" s="19">
        <v>1.6</v>
      </c>
      <c r="H74" s="15">
        <v>-4</v>
      </c>
      <c r="I74" s="14">
        <f>IF(Data!I74&lt;=QUARTILE(Data!I$4:I$195,1),1,IF(Data!I74&lt;=MEDIAN(Data!I$4:I$195),2,IF(Data!I74&lt;=QUARTILE(Data!I$4:I$195,3),3,4)))</f>
        <v>3</v>
      </c>
      <c r="J74" s="19">
        <f>IF(Data!J74&lt;=QUARTILE(Data!J$4:J$195,1),1,IF(Data!J74&lt;=MEDIAN(Data!J$4:J$195),2,IF(Data!J74&lt;=QUARTILE(Data!J$4:J$195,3),3,4)))</f>
        <v>3</v>
      </c>
      <c r="K74" s="19">
        <f>IF(Data!K74&lt;=QUARTILE(Data!K$4:K$195,1),1,IF(Data!K74&lt;=MEDIAN(Data!K$4:K$195),2,IF(Data!K74&lt;=QUARTILE(Data!K$4:K$195,3),3,4)))</f>
        <v>3</v>
      </c>
      <c r="L74" s="15">
        <f>IF(Data!L74&lt;=QUARTILE(Data!L$4:L$195,1),1,IF(Data!L74&lt;=MEDIAN(Data!L$4:L$195),2,IF(Data!L74&lt;=QUARTILE(Data!L$4:L$195,3),3,4)))</f>
        <v>3</v>
      </c>
      <c r="M74" s="14">
        <f>IF(Data!M74&lt;=QUARTILE(Data!M$4:M$195,1),1,IF(Data!M74&lt;=MEDIAN(Data!M$4:M$195),2,IF(Data!M74&lt;=QUARTILE(Data!M$4:M$195,3),3,4)))</f>
        <v>4</v>
      </c>
      <c r="N74" s="19">
        <f>IF(Data!N74&lt;=QUARTILE(Data!N$4:N$195,1),1,IF(Data!N74&lt;=MEDIAN(Data!N$4:N$195),2,IF(Data!N74&lt;=QUARTILE(Data!N$4:N$195,3),3,4)))</f>
        <v>4</v>
      </c>
      <c r="O74" s="19">
        <f>IF(Data!O74&lt;=QUARTILE(Data!O$4:O$195,1),1,IF(Data!O74&lt;=MEDIAN(Data!O$4:O$195),2,IF(Data!O74&lt;=QUARTILE(Data!O$4:O$195,3),3,4)))</f>
        <v>4</v>
      </c>
      <c r="P74" s="19">
        <f>IF(Data!P74&lt;=QUARTILE(Data!P$4:P$195,1),1,IF(Data!P74&lt;=MEDIAN(Data!P$4:P$195),2,IF(Data!P74&lt;=QUARTILE(Data!P$4:P$195,3),3,4)))</f>
        <v>3</v>
      </c>
      <c r="Q74" s="19">
        <f>IF(Data!Q74&lt;=QUARTILE(Data!Q$4:Q$195,1),1,IF(Data!Q74&lt;=MEDIAN(Data!Q$4:Q$195),2,IF(Data!Q74&lt;=QUARTILE(Data!Q$4:Q$195,3),3,4)))</f>
        <v>4</v>
      </c>
      <c r="R74" s="19">
        <f>IF(Data!R74&lt;=QUARTILE(Data!R$4:R$195,1),1,IF(Data!R74&lt;=MEDIAN(Data!R$4:R$195),2,IF(Data!R74&lt;=QUARTILE(Data!R$4:R$195,3),3,4)))</f>
        <v>3</v>
      </c>
      <c r="S74" s="19">
        <f>IF(Data!S74&lt;=QUARTILE(Data!S$4:S$195,1),1,IF(Data!S74&lt;=MEDIAN(Data!S$4:S$195),2,IF(Data!S74&lt;=QUARTILE(Data!S$4:S$195,3),3,4)))</f>
        <v>1</v>
      </c>
      <c r="T74" s="19">
        <f>IF(Data!T74&lt;=QUARTILE(Data!T$4:T$195,1),1,IF(Data!T74&lt;=MEDIAN(Data!T$4:T$195),2,IF(Data!T74&lt;=QUARTILE(Data!T$4:T$195,3),3,4)))</f>
        <v>1</v>
      </c>
      <c r="U74" s="14">
        <f>IF(Data!U74&lt;=QUARTILE(Data!U$4:U$195,1),1,IF(Data!U74&lt;=MEDIAN(Data!U$4:U$195),2,IF(Data!U74&lt;=QUARTILE(Data!U$4:U$195,3),3,4)))</f>
        <v>2</v>
      </c>
      <c r="V74" s="19">
        <f>IF(Data!V74&lt;=QUARTILE(Data!V$4:V$195,1),1,IF(Data!V74&lt;=MEDIAN(Data!V$4:V$195),2,IF(Data!V74&lt;=QUARTILE(Data!V$4:V$195,3),3,4)))</f>
        <v>1</v>
      </c>
      <c r="W74" s="19">
        <f>IF(Data!W74&lt;=QUARTILE(Data!W$4:W$195,1),1,IF(Data!W74&lt;=MEDIAN(Data!W$4:W$195),2,IF(Data!W74&lt;=QUARTILE(Data!W$4:W$195,3),3,4)))</f>
        <v>2</v>
      </c>
      <c r="X74" s="15">
        <f>IF(Data!X74&lt;=QUARTILE(Data!X$4:X$195,1),1,IF(Data!X74&lt;=MEDIAN(Data!X$4:X$195),2,IF(Data!X74&lt;=QUARTILE(Data!X$4:X$195,3),3,4)))</f>
        <v>1</v>
      </c>
      <c r="Y74" s="14">
        <f>IF(Data!Y74&lt;=QUARTILE(Data!Y$4:Y$195,1),1,IF(Data!Y74&lt;=MEDIAN(Data!Y$4:Y$195),2,IF(Data!Y74&lt;=QUARTILE(Data!Y$4:Y$195,3),3,4)))</f>
        <v>4</v>
      </c>
      <c r="Z74" s="22">
        <f>IF(Data!Z74&lt;=QUARTILE(Data!Z$4:Z$195,1),1,IF(Data!Z74&lt;=MEDIAN(Data!Z$4:Z$195),2,IF(Data!Z74&lt;=QUARTILE(Data!Z$4:Z$195,3),3,4)))</f>
        <v>1</v>
      </c>
      <c r="AA74" s="14">
        <f>IF(Data!AA74&lt;=QUARTILE(Data!AA$4:AA$195,1),1,IF(Data!AA74&lt;=MEDIAN(Data!AA$4:AA$195),2,IF(Data!AA74&lt;=QUARTILE(Data!AA$4:AA$195,3),3,4)))</f>
        <v>1</v>
      </c>
      <c r="AB74" s="15">
        <f>IF(Data!AB74&lt;=QUARTILE(Data!AB$4:AB$195,1),1,IF(Data!AB74&lt;=MEDIAN(Data!AB$4:AB$195),2,IF(Data!AB74&lt;=QUARTILE(Data!AB$4:AB$195,3),3,4)))</f>
        <v>1</v>
      </c>
      <c r="AC74" s="14">
        <f>IF(Data!AC74&lt;=QUARTILE(Data!AC$4:AC$195,1),1,IF(Data!AC74&lt;=MEDIAN(Data!AC$4:AC$195),2,IF(Data!AC74&lt;=QUARTILE(Data!AC$4:AC$195,3),3,4)))</f>
        <v>3</v>
      </c>
      <c r="AD74" s="19">
        <f>IF(Data!AD74&lt;=QUARTILE(Data!AD$4:AD$195,1),1,IF(Data!AD74&lt;=MEDIAN(Data!AD$4:AD$195),2,IF(Data!AD74&lt;=QUARTILE(Data!AD$4:AD$195,3),3,4)))</f>
        <v>4</v>
      </c>
      <c r="AE74" s="14">
        <f>IF(Data!AE74&lt;=QUARTILE(Data!AE$4:AE$195,1),1,IF(Data!AE74&lt;=MEDIAN(Data!AE$4:AE$195),2,IF(Data!AE74&lt;=QUARTILE(Data!AE$4:AE$195,3),3,4)))</f>
        <v>4</v>
      </c>
      <c r="AF74" s="19">
        <f>IF(Data!AF74&lt;=QUARTILE(Data!AF$4:AF$195,1),1,IF(Data!AF74&lt;=MEDIAN(Data!AF$4:AF$195),2,IF(Data!AF74&lt;=QUARTILE(Data!AF$4:AF$195,3),3,4)))</f>
        <v>4</v>
      </c>
      <c r="AG74" s="19">
        <f>IF(Data!AG74&lt;=QUARTILE(Data!AG$4:AG$195,1),1,IF(Data!AG74&lt;=MEDIAN(Data!AG$4:AG$195),2,IF(Data!AG74&lt;=QUARTILE(Data!AG$4:AG$195,3),3,4)))</f>
        <v>1</v>
      </c>
      <c r="AH74" s="15">
        <f>IF(Data!AH74&lt;=QUARTILE(Data!AH$4:AH$195,1),1,IF(Data!AH74&lt;=MEDIAN(Data!AH$4:AH$195),2,IF(Data!AH74&lt;=QUARTILE(Data!AH$4:AH$195,3),3,4)))</f>
        <v>1</v>
      </c>
      <c r="AI74" s="14">
        <f>IF(Data!AI74&lt;=QUARTILE(Data!AI$4:AI$195,1),1,IF(Data!AI74&lt;=MEDIAN(Data!AI$4:AI$195),2,IF(Data!AI74&lt;=QUARTILE(Data!AI$4:AI$195,3),3,4)))</f>
        <v>1</v>
      </c>
      <c r="AJ74" s="15">
        <f>IF(Data!AJ74&lt;=QUARTILE(Data!AJ$4:AJ$195,1),1,IF(Data!AJ74&lt;=MEDIAN(Data!AJ$4:AJ$195),2,IF(Data!AJ74&lt;=QUARTILE(Data!AJ$4:AJ$195,3),3,4)))</f>
        <v>1</v>
      </c>
      <c r="AK74" s="14">
        <f>IF(Data!AK74&lt;=QUARTILE(Data!AK$4:AK$195,1),1,IF(Data!AK74&lt;=MEDIAN(Data!AK$4:AK$195),2,IF(Data!AK74&lt;=QUARTILE(Data!AK$4:AK$195,3),3,4)))</f>
        <v>4</v>
      </c>
      <c r="AL74" s="19">
        <f>IF(Data!AL74&lt;=QUARTILE(Data!AL$4:AL$195,1),1,IF(Data!AL74&lt;=MEDIAN(Data!AL$4:AL$195),2,IF(Data!AL74&lt;=QUARTILE(Data!AL$4:AL$195,3),3,4)))</f>
        <v>4</v>
      </c>
      <c r="AM74" s="19">
        <f>IF(Data!AM74&lt;=QUARTILE(Data!AM$4:AM$195,1),1,IF(Data!AM74&lt;=MEDIAN(Data!AM$4:AM$195),2,IF(Data!AM74&lt;=QUARTILE(Data!AM$4:AM$195,3),3,4)))</f>
        <v>3</v>
      </c>
      <c r="AN74" s="15">
        <f>IF(Data!AN74&lt;=QUARTILE(Data!AN$4:AN$195,1),1,IF(Data!AN74&lt;=MEDIAN(Data!AN$4:AN$195),2,IF(Data!AN74&lt;=QUARTILE(Data!AN$4:AN$195,3),3,4)))</f>
        <v>3</v>
      </c>
      <c r="AO74" s="14">
        <f>IF(Data!AO74&lt;=QUARTILE(Data!AO$4:AO$195,1),1,IF(Data!AO74&lt;=MEDIAN(Data!AO$4:AO$195),2,IF(Data!AO74&lt;=QUARTILE(Data!AO$4:AO$195,3),3,4)))</f>
        <v>4</v>
      </c>
      <c r="AP74" s="19">
        <f>IF(Data!AP74&lt;=QUARTILE(Data!AP$4:AP$195,1),1,IF(Data!AP74&lt;=MEDIAN(Data!AP$4:AP$195),2,IF(Data!AP74&lt;=QUARTILE(Data!AP$4:AP$195,3),3,4)))</f>
        <v>3</v>
      </c>
      <c r="AQ74" s="19">
        <f>IF(Data!AQ74&lt;=QUARTILE(Data!AQ$4:AQ$195,1),1,IF(Data!AQ74&lt;=MEDIAN(Data!AQ$4:AQ$195),2,IF(Data!AQ74&lt;=QUARTILE(Data!AQ$4:AQ$195,3),3,4)))</f>
        <v>4</v>
      </c>
      <c r="AR74" s="19">
        <f>IF(Data!AR74&lt;=QUARTILE(Data!AR$4:AR$195,1),1,IF(Data!AR74&lt;=MEDIAN(Data!AR$4:AR$195),2,IF(Data!AR74&lt;=QUARTILE(Data!AR$4:AR$195,3),3,4)))</f>
        <v>4</v>
      </c>
      <c r="AS74" s="19">
        <f>IF(Data!AS74&lt;=QUARTILE(Data!AS$4:AS$195,1),1,IF(Data!AS74&lt;=MEDIAN(Data!AS$4:AS$195),2,IF(Data!AS74&lt;=QUARTILE(Data!AS$4:AS$195,3),3,4)))</f>
        <v>4</v>
      </c>
      <c r="AT74" s="19">
        <f>IF(Data!AT74&lt;=QUARTILE(Data!AT$4:AT$195,1),1,IF(Data!AT74&lt;=MEDIAN(Data!AT$4:AT$195),2,IF(Data!AT74&lt;=QUARTILE(Data!AT$4:AT$195,3),3,4)))</f>
        <v>1</v>
      </c>
      <c r="AU74" s="19">
        <f>IF(Data!AU74&lt;=QUARTILE(Data!AU$4:AU$195,1),1,IF(Data!AU74&lt;=MEDIAN(Data!AU$4:AU$195),2,IF(Data!AU74&lt;=QUARTILE(Data!AU$4:AU$195,3),3,4)))</f>
        <v>1</v>
      </c>
      <c r="AV74" s="14">
        <f>IF(Data!AV74&lt;=QUARTILE(Data!AV$4:AV$195,1),1,IF(Data!AV74&lt;=MEDIAN(Data!AV$4:AV$195),2,IF(Data!AV74&lt;=QUARTILE(Data!AV$4:AV$195,3),3,4)))</f>
        <v>3</v>
      </c>
      <c r="AW74" s="19">
        <f>IF(Data!AW74&lt;=QUARTILE(Data!AW$4:AW$195,1),1,IF(Data!AW74&lt;=MEDIAN(Data!AW$4:AW$195),2,IF(Data!AW74&lt;=QUARTILE(Data!AW$4:AW$195,3),3,4)))</f>
        <v>3</v>
      </c>
      <c r="AX74" s="19">
        <f>IF(Data!AX74&lt;=QUARTILE(Data!AX$4:AX$195,1),1,IF(Data!AX74&lt;=MEDIAN(Data!AX$4:AX$195),2,IF(Data!AX74&lt;=QUARTILE(Data!AX$4:AX$195,3),3,4)))</f>
        <v>2</v>
      </c>
      <c r="AY74" s="15">
        <f>IF(Data!AY74&lt;=QUARTILE(Data!AY$4:AY$195,1),1,IF(Data!AY74&lt;=MEDIAN(Data!AY$4:AY$195),2,IF(Data!AY74&lt;=QUARTILE(Data!AY$4:AY$195,3),3,4)))</f>
        <v>2</v>
      </c>
      <c r="AZ74" s="14">
        <f>IF(Data!AZ74&lt;=QUARTILE(Data!AZ$4:AZ$195,1),1,IF(Data!AZ74&lt;=MEDIAN(Data!AZ$4:AZ$195),2,IF(Data!AZ74&lt;=QUARTILE(Data!AZ$4:AZ$195,3),3,4)))</f>
        <v>3</v>
      </c>
      <c r="BA74" s="15">
        <f>IF(Data!BA74&lt;=QUARTILE(Data!BA$4:BA$195,1),1,IF(Data!BA74&lt;=MEDIAN(Data!BA$4:BA$195),2,IF(Data!BA74&lt;=QUARTILE(Data!BA$4:BA$195,3),3,4)))</f>
        <v>4</v>
      </c>
    </row>
    <row r="75" spans="1:53" x14ac:dyDescent="0.25">
      <c r="A75" s="4" t="s">
        <v>10</v>
      </c>
      <c r="B75" s="40">
        <v>2007</v>
      </c>
      <c r="C75" s="14">
        <v>10</v>
      </c>
      <c r="D75" s="19">
        <v>6</v>
      </c>
      <c r="E75" s="74" t="s">
        <v>96</v>
      </c>
      <c r="F75" s="19">
        <v>-1.1000000000000001</v>
      </c>
      <c r="G75" s="19">
        <v>2.2000000000000002</v>
      </c>
      <c r="H75" s="15">
        <v>-3.3</v>
      </c>
      <c r="I75" s="14">
        <f>IF(Data!I75&lt;=QUARTILE(Data!I$4:I$195,1),1,IF(Data!I75&lt;=MEDIAN(Data!I$4:I$195),2,IF(Data!I75&lt;=QUARTILE(Data!I$4:I$195,3),3,4)))</f>
        <v>4</v>
      </c>
      <c r="J75" s="19">
        <f>IF(Data!J75&lt;=QUARTILE(Data!J$4:J$195,1),1,IF(Data!J75&lt;=MEDIAN(Data!J$4:J$195),2,IF(Data!J75&lt;=QUARTILE(Data!J$4:J$195,3),3,4)))</f>
        <v>3</v>
      </c>
      <c r="K75" s="19">
        <f>IF(Data!K75&lt;=QUARTILE(Data!K$4:K$195,1),1,IF(Data!K75&lt;=MEDIAN(Data!K$4:K$195),2,IF(Data!K75&lt;=QUARTILE(Data!K$4:K$195,3),3,4)))</f>
        <v>2</v>
      </c>
      <c r="L75" s="15">
        <f>IF(Data!L75&lt;=QUARTILE(Data!L$4:L$195,1),1,IF(Data!L75&lt;=MEDIAN(Data!L$4:L$195),2,IF(Data!L75&lt;=QUARTILE(Data!L$4:L$195,3),3,4)))</f>
        <v>3</v>
      </c>
      <c r="M75" s="14">
        <f>IF(Data!M75&lt;=QUARTILE(Data!M$4:M$195,1),1,IF(Data!M75&lt;=MEDIAN(Data!M$4:M$195),2,IF(Data!M75&lt;=QUARTILE(Data!M$4:M$195,3),3,4)))</f>
        <v>2</v>
      </c>
      <c r="N75" s="19">
        <f>IF(Data!N75&lt;=QUARTILE(Data!N$4:N$195,1),1,IF(Data!N75&lt;=MEDIAN(Data!N$4:N$195),2,IF(Data!N75&lt;=QUARTILE(Data!N$4:N$195,3),3,4)))</f>
        <v>3</v>
      </c>
      <c r="O75" s="19">
        <f>IF(Data!O75&lt;=QUARTILE(Data!O$4:O$195,1),1,IF(Data!O75&lt;=MEDIAN(Data!O$4:O$195),2,IF(Data!O75&lt;=QUARTILE(Data!O$4:O$195,3),3,4)))</f>
        <v>3</v>
      </c>
      <c r="P75" s="19">
        <f>IF(Data!P75&lt;=QUARTILE(Data!P$4:P$195,1),1,IF(Data!P75&lt;=MEDIAN(Data!P$4:P$195),2,IF(Data!P75&lt;=QUARTILE(Data!P$4:P$195,3),3,4)))</f>
        <v>4</v>
      </c>
      <c r="Q75" s="19">
        <f>IF(Data!Q75&lt;=QUARTILE(Data!Q$4:Q$195,1),1,IF(Data!Q75&lt;=MEDIAN(Data!Q$4:Q$195),2,IF(Data!Q75&lt;=QUARTILE(Data!Q$4:Q$195,3),3,4)))</f>
        <v>3</v>
      </c>
      <c r="R75" s="19">
        <f>IF(Data!R75&lt;=QUARTILE(Data!R$4:R$195,1),1,IF(Data!R75&lt;=MEDIAN(Data!R$4:R$195),2,IF(Data!R75&lt;=QUARTILE(Data!R$4:R$195,3),3,4)))</f>
        <v>2</v>
      </c>
      <c r="S75" s="19">
        <f>IF(Data!S75&lt;=QUARTILE(Data!S$4:S$195,1),1,IF(Data!S75&lt;=MEDIAN(Data!S$4:S$195),2,IF(Data!S75&lt;=QUARTILE(Data!S$4:S$195,3),3,4)))</f>
        <v>1</v>
      </c>
      <c r="T75" s="19">
        <f>IF(Data!T75&lt;=QUARTILE(Data!T$4:T$195,1),1,IF(Data!T75&lt;=MEDIAN(Data!T$4:T$195),2,IF(Data!T75&lt;=QUARTILE(Data!T$4:T$195,3),3,4)))</f>
        <v>1</v>
      </c>
      <c r="U75" s="14">
        <f>IF(Data!U75&lt;=QUARTILE(Data!U$4:U$195,1),1,IF(Data!U75&lt;=MEDIAN(Data!U$4:U$195),2,IF(Data!U75&lt;=QUARTILE(Data!U$4:U$195,3),3,4)))</f>
        <v>3</v>
      </c>
      <c r="V75" s="19">
        <f>IF(Data!V75&lt;=QUARTILE(Data!V$4:V$195,1),1,IF(Data!V75&lt;=MEDIAN(Data!V$4:V$195),2,IF(Data!V75&lt;=QUARTILE(Data!V$4:V$195,3),3,4)))</f>
        <v>3</v>
      </c>
      <c r="W75" s="19">
        <f>IF(Data!W75&lt;=QUARTILE(Data!W$4:W$195,1),1,IF(Data!W75&lt;=MEDIAN(Data!W$4:W$195),2,IF(Data!W75&lt;=QUARTILE(Data!W$4:W$195,3),3,4)))</f>
        <v>2</v>
      </c>
      <c r="X75" s="15">
        <f>IF(Data!X75&lt;=QUARTILE(Data!X$4:X$195,1),1,IF(Data!X75&lt;=MEDIAN(Data!X$4:X$195),2,IF(Data!X75&lt;=QUARTILE(Data!X$4:X$195,3),3,4)))</f>
        <v>3</v>
      </c>
      <c r="Y75" s="14">
        <f>IF(Data!Y75&lt;=QUARTILE(Data!Y$4:Y$195,1),1,IF(Data!Y75&lt;=MEDIAN(Data!Y$4:Y$195),2,IF(Data!Y75&lt;=QUARTILE(Data!Y$4:Y$195,3),3,4)))</f>
        <v>4</v>
      </c>
      <c r="Z75" s="22">
        <f>IF(Data!Z75&lt;=QUARTILE(Data!Z$4:Z$195,1),1,IF(Data!Z75&lt;=MEDIAN(Data!Z$4:Z$195),2,IF(Data!Z75&lt;=QUARTILE(Data!Z$4:Z$195,3),3,4)))</f>
        <v>1</v>
      </c>
      <c r="AA75" s="14">
        <f>IF(Data!AA75&lt;=QUARTILE(Data!AA$4:AA$195,1),1,IF(Data!AA75&lt;=MEDIAN(Data!AA$4:AA$195),2,IF(Data!AA75&lt;=QUARTILE(Data!AA$4:AA$195,3),3,4)))</f>
        <v>1</v>
      </c>
      <c r="AB75" s="15">
        <f>IF(Data!AB75&lt;=QUARTILE(Data!AB$4:AB$195,1),1,IF(Data!AB75&lt;=MEDIAN(Data!AB$4:AB$195),2,IF(Data!AB75&lt;=QUARTILE(Data!AB$4:AB$195,3),3,4)))</f>
        <v>4</v>
      </c>
      <c r="AC75" s="14">
        <f>IF(Data!AC75&lt;=QUARTILE(Data!AC$4:AC$195,1),1,IF(Data!AC75&lt;=MEDIAN(Data!AC$4:AC$195),2,IF(Data!AC75&lt;=QUARTILE(Data!AC$4:AC$195,3),3,4)))</f>
        <v>3</v>
      </c>
      <c r="AD75" s="19">
        <f>IF(Data!AD75&lt;=QUARTILE(Data!AD$4:AD$195,1),1,IF(Data!AD75&lt;=MEDIAN(Data!AD$4:AD$195),2,IF(Data!AD75&lt;=QUARTILE(Data!AD$4:AD$195,3),3,4)))</f>
        <v>4</v>
      </c>
      <c r="AE75" s="14">
        <f>IF(Data!AE75&lt;=QUARTILE(Data!AE$4:AE$195,1),1,IF(Data!AE75&lt;=MEDIAN(Data!AE$4:AE$195),2,IF(Data!AE75&lt;=QUARTILE(Data!AE$4:AE$195,3),3,4)))</f>
        <v>3</v>
      </c>
      <c r="AF75" s="19">
        <f>IF(Data!AF75&lt;=QUARTILE(Data!AF$4:AF$195,1),1,IF(Data!AF75&lt;=MEDIAN(Data!AF$4:AF$195),2,IF(Data!AF75&lt;=QUARTILE(Data!AF$4:AF$195,3),3,4)))</f>
        <v>3</v>
      </c>
      <c r="AG75" s="19">
        <f>IF(Data!AG75&lt;=QUARTILE(Data!AG$4:AG$195,1),1,IF(Data!AG75&lt;=MEDIAN(Data!AG$4:AG$195),2,IF(Data!AG75&lt;=QUARTILE(Data!AG$4:AG$195,3),3,4)))</f>
        <v>2</v>
      </c>
      <c r="AH75" s="15">
        <f>IF(Data!AH75&lt;=QUARTILE(Data!AH$4:AH$195,1),1,IF(Data!AH75&lt;=MEDIAN(Data!AH$4:AH$195),2,IF(Data!AH75&lt;=QUARTILE(Data!AH$4:AH$195,3),3,4)))</f>
        <v>2</v>
      </c>
      <c r="AI75" s="14">
        <f>IF(Data!AI75&lt;=QUARTILE(Data!AI$4:AI$195,1),1,IF(Data!AI75&lt;=MEDIAN(Data!AI$4:AI$195),2,IF(Data!AI75&lt;=QUARTILE(Data!AI$4:AI$195,3),3,4)))</f>
        <v>2</v>
      </c>
      <c r="AJ75" s="15">
        <f>IF(Data!AJ75&lt;=QUARTILE(Data!AJ$4:AJ$195,1),1,IF(Data!AJ75&lt;=MEDIAN(Data!AJ$4:AJ$195),2,IF(Data!AJ75&lt;=QUARTILE(Data!AJ$4:AJ$195,3),3,4)))</f>
        <v>2</v>
      </c>
      <c r="AK75" s="14">
        <f>IF(Data!AK75&lt;=QUARTILE(Data!AK$4:AK$195,1),1,IF(Data!AK75&lt;=MEDIAN(Data!AK$4:AK$195),2,IF(Data!AK75&lt;=QUARTILE(Data!AK$4:AK$195,3),3,4)))</f>
        <v>3</v>
      </c>
      <c r="AL75" s="19">
        <f>IF(Data!AL75&lt;=QUARTILE(Data!AL$4:AL$195,1),1,IF(Data!AL75&lt;=MEDIAN(Data!AL$4:AL$195),2,IF(Data!AL75&lt;=QUARTILE(Data!AL$4:AL$195,3),3,4)))</f>
        <v>4</v>
      </c>
      <c r="AM75" s="19">
        <f>IF(Data!AM75&lt;=QUARTILE(Data!AM$4:AM$195,1),1,IF(Data!AM75&lt;=MEDIAN(Data!AM$4:AM$195),2,IF(Data!AM75&lt;=QUARTILE(Data!AM$4:AM$195,3),3,4)))</f>
        <v>4</v>
      </c>
      <c r="AN75" s="15">
        <f>IF(Data!AN75&lt;=QUARTILE(Data!AN$4:AN$195,1),1,IF(Data!AN75&lt;=MEDIAN(Data!AN$4:AN$195),2,IF(Data!AN75&lt;=QUARTILE(Data!AN$4:AN$195,3),3,4)))</f>
        <v>4</v>
      </c>
      <c r="AO75" s="14">
        <f>IF(Data!AO75&lt;=QUARTILE(Data!AO$4:AO$195,1),1,IF(Data!AO75&lt;=MEDIAN(Data!AO$4:AO$195),2,IF(Data!AO75&lt;=QUARTILE(Data!AO$4:AO$195,3),3,4)))</f>
        <v>4</v>
      </c>
      <c r="AP75" s="19">
        <f>IF(Data!AP75&lt;=QUARTILE(Data!AP$4:AP$195,1),1,IF(Data!AP75&lt;=MEDIAN(Data!AP$4:AP$195),2,IF(Data!AP75&lt;=QUARTILE(Data!AP$4:AP$195,3),3,4)))</f>
        <v>4</v>
      </c>
      <c r="AQ75" s="19">
        <f>IF(Data!AQ75&lt;=QUARTILE(Data!AQ$4:AQ$195,1),1,IF(Data!AQ75&lt;=MEDIAN(Data!AQ$4:AQ$195),2,IF(Data!AQ75&lt;=QUARTILE(Data!AQ$4:AQ$195,3),3,4)))</f>
        <v>4</v>
      </c>
      <c r="AR75" s="19">
        <f>IF(Data!AR75&lt;=QUARTILE(Data!AR$4:AR$195,1),1,IF(Data!AR75&lt;=MEDIAN(Data!AR$4:AR$195),2,IF(Data!AR75&lt;=QUARTILE(Data!AR$4:AR$195,3),3,4)))</f>
        <v>4</v>
      </c>
      <c r="AS75" s="19">
        <f>IF(Data!AS75&lt;=QUARTILE(Data!AS$4:AS$195,1),1,IF(Data!AS75&lt;=MEDIAN(Data!AS$4:AS$195),2,IF(Data!AS75&lt;=QUARTILE(Data!AS$4:AS$195,3),3,4)))</f>
        <v>4</v>
      </c>
      <c r="AT75" s="19">
        <f>IF(Data!AT75&lt;=QUARTILE(Data!AT$4:AT$195,1),1,IF(Data!AT75&lt;=MEDIAN(Data!AT$4:AT$195),2,IF(Data!AT75&lt;=QUARTILE(Data!AT$4:AT$195,3),3,4)))</f>
        <v>1</v>
      </c>
      <c r="AU75" s="19">
        <f>IF(Data!AU75&lt;=QUARTILE(Data!AU$4:AU$195,1),1,IF(Data!AU75&lt;=MEDIAN(Data!AU$4:AU$195),2,IF(Data!AU75&lt;=QUARTILE(Data!AU$4:AU$195,3),3,4)))</f>
        <v>1</v>
      </c>
      <c r="AV75" s="14">
        <f>IF(Data!AV75&lt;=QUARTILE(Data!AV$4:AV$195,1),1,IF(Data!AV75&lt;=MEDIAN(Data!AV$4:AV$195),2,IF(Data!AV75&lt;=QUARTILE(Data!AV$4:AV$195,3),3,4)))</f>
        <v>3</v>
      </c>
      <c r="AW75" s="19">
        <f>IF(Data!AW75&lt;=QUARTILE(Data!AW$4:AW$195,1),1,IF(Data!AW75&lt;=MEDIAN(Data!AW$4:AW$195),2,IF(Data!AW75&lt;=QUARTILE(Data!AW$4:AW$195,3),3,4)))</f>
        <v>4</v>
      </c>
      <c r="AX75" s="19">
        <f>IF(Data!AX75&lt;=QUARTILE(Data!AX$4:AX$195,1),1,IF(Data!AX75&lt;=MEDIAN(Data!AX$4:AX$195),2,IF(Data!AX75&lt;=QUARTILE(Data!AX$4:AX$195,3),3,4)))</f>
        <v>1</v>
      </c>
      <c r="AY75" s="15">
        <f>IF(Data!AY75&lt;=QUARTILE(Data!AY$4:AY$195,1),1,IF(Data!AY75&lt;=MEDIAN(Data!AY$4:AY$195),2,IF(Data!AY75&lt;=QUARTILE(Data!AY$4:AY$195,3),3,4)))</f>
        <v>3</v>
      </c>
      <c r="AZ75" s="14">
        <f>IF(Data!AZ75&lt;=QUARTILE(Data!AZ$4:AZ$195,1),1,IF(Data!AZ75&lt;=MEDIAN(Data!AZ$4:AZ$195),2,IF(Data!AZ75&lt;=QUARTILE(Data!AZ$4:AZ$195,3),3,4)))</f>
        <v>3</v>
      </c>
      <c r="BA75" s="15">
        <f>IF(Data!BA75&lt;=QUARTILE(Data!BA$4:BA$195,1),1,IF(Data!BA75&lt;=MEDIAN(Data!BA$4:BA$195),2,IF(Data!BA75&lt;=QUARTILE(Data!BA$4:BA$195,3),3,4)))</f>
        <v>2</v>
      </c>
    </row>
    <row r="76" spans="1:53" x14ac:dyDescent="0.25">
      <c r="A76" s="4" t="s">
        <v>19</v>
      </c>
      <c r="B76" s="40">
        <v>2007</v>
      </c>
      <c r="C76" s="14">
        <v>13</v>
      </c>
      <c r="D76" s="19">
        <v>3</v>
      </c>
      <c r="E76" s="74" t="s">
        <v>97</v>
      </c>
      <c r="F76" s="19">
        <v>9.5</v>
      </c>
      <c r="G76" s="19">
        <v>7.8</v>
      </c>
      <c r="H76" s="15">
        <v>1.7</v>
      </c>
      <c r="I76" s="14">
        <f>IF(Data!I76&lt;=QUARTILE(Data!I$4:I$195,1),1,IF(Data!I76&lt;=MEDIAN(Data!I$4:I$195),2,IF(Data!I76&lt;=QUARTILE(Data!I$4:I$195,3),3,4)))</f>
        <v>4</v>
      </c>
      <c r="J76" s="19">
        <f>IF(Data!J76&lt;=QUARTILE(Data!J$4:J$195,1),1,IF(Data!J76&lt;=MEDIAN(Data!J$4:J$195),2,IF(Data!J76&lt;=QUARTILE(Data!J$4:J$195,3),3,4)))</f>
        <v>4</v>
      </c>
      <c r="K76" s="19">
        <f>IF(Data!K76&lt;=QUARTILE(Data!K$4:K$195,1),1,IF(Data!K76&lt;=MEDIAN(Data!K$4:K$195),2,IF(Data!K76&lt;=QUARTILE(Data!K$4:K$195,3),3,4)))</f>
        <v>2</v>
      </c>
      <c r="L76" s="15">
        <f>IF(Data!L76&lt;=QUARTILE(Data!L$4:L$195,1),1,IF(Data!L76&lt;=MEDIAN(Data!L$4:L$195),2,IF(Data!L76&lt;=QUARTILE(Data!L$4:L$195,3),3,4)))</f>
        <v>4</v>
      </c>
      <c r="M76" s="14">
        <f>IF(Data!M76&lt;=QUARTILE(Data!M$4:M$195,1),1,IF(Data!M76&lt;=MEDIAN(Data!M$4:M$195),2,IF(Data!M76&lt;=QUARTILE(Data!M$4:M$195,3),3,4)))</f>
        <v>3</v>
      </c>
      <c r="N76" s="19">
        <f>IF(Data!N76&lt;=QUARTILE(Data!N$4:N$195,1),1,IF(Data!N76&lt;=MEDIAN(Data!N$4:N$195),2,IF(Data!N76&lt;=QUARTILE(Data!N$4:N$195,3),3,4)))</f>
        <v>3</v>
      </c>
      <c r="O76" s="19">
        <f>IF(Data!O76&lt;=QUARTILE(Data!O$4:O$195,1),1,IF(Data!O76&lt;=MEDIAN(Data!O$4:O$195),2,IF(Data!O76&lt;=QUARTILE(Data!O$4:O$195,3),3,4)))</f>
        <v>4</v>
      </c>
      <c r="P76" s="19">
        <f>IF(Data!P76&lt;=QUARTILE(Data!P$4:P$195,1),1,IF(Data!P76&lt;=MEDIAN(Data!P$4:P$195),2,IF(Data!P76&lt;=QUARTILE(Data!P$4:P$195,3),3,4)))</f>
        <v>4</v>
      </c>
      <c r="Q76" s="19">
        <f>IF(Data!Q76&lt;=QUARTILE(Data!Q$4:Q$195,1),1,IF(Data!Q76&lt;=MEDIAN(Data!Q$4:Q$195),2,IF(Data!Q76&lt;=QUARTILE(Data!Q$4:Q$195,3),3,4)))</f>
        <v>4</v>
      </c>
      <c r="R76" s="19">
        <f>IF(Data!R76&lt;=QUARTILE(Data!R$4:R$195,1),1,IF(Data!R76&lt;=MEDIAN(Data!R$4:R$195),2,IF(Data!R76&lt;=QUARTILE(Data!R$4:R$195,3),3,4)))</f>
        <v>4</v>
      </c>
      <c r="S76" s="19">
        <f>IF(Data!S76&lt;=QUARTILE(Data!S$4:S$195,1),1,IF(Data!S76&lt;=MEDIAN(Data!S$4:S$195),2,IF(Data!S76&lt;=QUARTILE(Data!S$4:S$195,3),3,4)))</f>
        <v>1</v>
      </c>
      <c r="T76" s="19">
        <f>IF(Data!T76&lt;=QUARTILE(Data!T$4:T$195,1),1,IF(Data!T76&lt;=MEDIAN(Data!T$4:T$195),2,IF(Data!T76&lt;=QUARTILE(Data!T$4:T$195,3),3,4)))</f>
        <v>2</v>
      </c>
      <c r="U76" s="14">
        <f>IF(Data!U76&lt;=QUARTILE(Data!U$4:U$195,1),1,IF(Data!U76&lt;=MEDIAN(Data!U$4:U$195),2,IF(Data!U76&lt;=QUARTILE(Data!U$4:U$195,3),3,4)))</f>
        <v>2</v>
      </c>
      <c r="V76" s="19">
        <f>IF(Data!V76&lt;=QUARTILE(Data!V$4:V$195,1),1,IF(Data!V76&lt;=MEDIAN(Data!V$4:V$195),2,IF(Data!V76&lt;=QUARTILE(Data!V$4:V$195,3),3,4)))</f>
        <v>2</v>
      </c>
      <c r="W76" s="19">
        <f>IF(Data!W76&lt;=QUARTILE(Data!W$4:W$195,1),1,IF(Data!W76&lt;=MEDIAN(Data!W$4:W$195),2,IF(Data!W76&lt;=QUARTILE(Data!W$4:W$195,3),3,4)))</f>
        <v>3</v>
      </c>
      <c r="X76" s="15">
        <f>IF(Data!X76&lt;=QUARTILE(Data!X$4:X$195,1),1,IF(Data!X76&lt;=MEDIAN(Data!X$4:X$195),2,IF(Data!X76&lt;=QUARTILE(Data!X$4:X$195,3),3,4)))</f>
        <v>1</v>
      </c>
      <c r="Y76" s="14">
        <f>IF(Data!Y76&lt;=QUARTILE(Data!Y$4:Y$195,1),1,IF(Data!Y76&lt;=MEDIAN(Data!Y$4:Y$195),2,IF(Data!Y76&lt;=QUARTILE(Data!Y$4:Y$195,3),3,4)))</f>
        <v>3</v>
      </c>
      <c r="Z76" s="22">
        <f>IF(Data!Z76&lt;=QUARTILE(Data!Z$4:Z$195,1),1,IF(Data!Z76&lt;=MEDIAN(Data!Z$4:Z$195),2,IF(Data!Z76&lt;=QUARTILE(Data!Z$4:Z$195,3),3,4)))</f>
        <v>1</v>
      </c>
      <c r="AA76" s="14">
        <f>IF(Data!AA76&lt;=QUARTILE(Data!AA$4:AA$195,1),1,IF(Data!AA76&lt;=MEDIAN(Data!AA$4:AA$195),2,IF(Data!AA76&lt;=QUARTILE(Data!AA$4:AA$195,3),3,4)))</f>
        <v>1</v>
      </c>
      <c r="AB76" s="15">
        <f>IF(Data!AB76&lt;=QUARTILE(Data!AB$4:AB$195,1),1,IF(Data!AB76&lt;=MEDIAN(Data!AB$4:AB$195),2,IF(Data!AB76&lt;=QUARTILE(Data!AB$4:AB$195,3),3,4)))</f>
        <v>1</v>
      </c>
      <c r="AC76" s="14">
        <f>IF(Data!AC76&lt;=QUARTILE(Data!AC$4:AC$195,1),1,IF(Data!AC76&lt;=MEDIAN(Data!AC$4:AC$195),2,IF(Data!AC76&lt;=QUARTILE(Data!AC$4:AC$195,3),3,4)))</f>
        <v>2</v>
      </c>
      <c r="AD76" s="19">
        <f>IF(Data!AD76&lt;=QUARTILE(Data!AD$4:AD$195,1),1,IF(Data!AD76&lt;=MEDIAN(Data!AD$4:AD$195),2,IF(Data!AD76&lt;=QUARTILE(Data!AD$4:AD$195,3),3,4)))</f>
        <v>2</v>
      </c>
      <c r="AE76" s="14">
        <f>IF(Data!AE76&lt;=QUARTILE(Data!AE$4:AE$195,1),1,IF(Data!AE76&lt;=MEDIAN(Data!AE$4:AE$195),2,IF(Data!AE76&lt;=QUARTILE(Data!AE$4:AE$195,3),3,4)))</f>
        <v>3</v>
      </c>
      <c r="AF76" s="19">
        <f>IF(Data!AF76&lt;=QUARTILE(Data!AF$4:AF$195,1),1,IF(Data!AF76&lt;=MEDIAN(Data!AF$4:AF$195),2,IF(Data!AF76&lt;=QUARTILE(Data!AF$4:AF$195,3),3,4)))</f>
        <v>3</v>
      </c>
      <c r="AG76" s="19">
        <f>IF(Data!AG76&lt;=QUARTILE(Data!AG$4:AG$195,1),1,IF(Data!AG76&lt;=MEDIAN(Data!AG$4:AG$195),2,IF(Data!AG76&lt;=QUARTILE(Data!AG$4:AG$195,3),3,4)))</f>
        <v>3</v>
      </c>
      <c r="AH76" s="15">
        <f>IF(Data!AH76&lt;=QUARTILE(Data!AH$4:AH$195,1),1,IF(Data!AH76&lt;=MEDIAN(Data!AH$4:AH$195),2,IF(Data!AH76&lt;=QUARTILE(Data!AH$4:AH$195,3),3,4)))</f>
        <v>3</v>
      </c>
      <c r="AI76" s="14">
        <f>IF(Data!AI76&lt;=QUARTILE(Data!AI$4:AI$195,1),1,IF(Data!AI76&lt;=MEDIAN(Data!AI$4:AI$195),2,IF(Data!AI76&lt;=QUARTILE(Data!AI$4:AI$195,3),3,4)))</f>
        <v>1</v>
      </c>
      <c r="AJ76" s="15">
        <f>IF(Data!AJ76&lt;=QUARTILE(Data!AJ$4:AJ$195,1),1,IF(Data!AJ76&lt;=MEDIAN(Data!AJ$4:AJ$195),2,IF(Data!AJ76&lt;=QUARTILE(Data!AJ$4:AJ$195,3),3,4)))</f>
        <v>2</v>
      </c>
      <c r="AK76" s="14">
        <f>IF(Data!AK76&lt;=QUARTILE(Data!AK$4:AK$195,1),1,IF(Data!AK76&lt;=MEDIAN(Data!AK$4:AK$195),2,IF(Data!AK76&lt;=QUARTILE(Data!AK$4:AK$195,3),3,4)))</f>
        <v>2</v>
      </c>
      <c r="AL76" s="19">
        <f>IF(Data!AL76&lt;=QUARTILE(Data!AL$4:AL$195,1),1,IF(Data!AL76&lt;=MEDIAN(Data!AL$4:AL$195),2,IF(Data!AL76&lt;=QUARTILE(Data!AL$4:AL$195,3),3,4)))</f>
        <v>2</v>
      </c>
      <c r="AM76" s="19">
        <f>IF(Data!AM76&lt;=QUARTILE(Data!AM$4:AM$195,1),1,IF(Data!AM76&lt;=MEDIAN(Data!AM$4:AM$195),2,IF(Data!AM76&lt;=QUARTILE(Data!AM$4:AM$195,3),3,4)))</f>
        <v>3</v>
      </c>
      <c r="AN76" s="15">
        <f>IF(Data!AN76&lt;=QUARTILE(Data!AN$4:AN$195,1),1,IF(Data!AN76&lt;=MEDIAN(Data!AN$4:AN$195),2,IF(Data!AN76&lt;=QUARTILE(Data!AN$4:AN$195,3),3,4)))</f>
        <v>3</v>
      </c>
      <c r="AO76" s="14">
        <f>IF(Data!AO76&lt;=QUARTILE(Data!AO$4:AO$195,1),1,IF(Data!AO76&lt;=MEDIAN(Data!AO$4:AO$195),2,IF(Data!AO76&lt;=QUARTILE(Data!AO$4:AO$195,3),3,4)))</f>
        <v>4</v>
      </c>
      <c r="AP76" s="19">
        <f>IF(Data!AP76&lt;=QUARTILE(Data!AP$4:AP$195,1),1,IF(Data!AP76&lt;=MEDIAN(Data!AP$4:AP$195),2,IF(Data!AP76&lt;=QUARTILE(Data!AP$4:AP$195,3),3,4)))</f>
        <v>4</v>
      </c>
      <c r="AQ76" s="19">
        <f>IF(Data!AQ76&lt;=QUARTILE(Data!AQ$4:AQ$195,1),1,IF(Data!AQ76&lt;=MEDIAN(Data!AQ$4:AQ$195),2,IF(Data!AQ76&lt;=QUARTILE(Data!AQ$4:AQ$195,3),3,4)))</f>
        <v>3</v>
      </c>
      <c r="AR76" s="19">
        <f>IF(Data!AR76&lt;=QUARTILE(Data!AR$4:AR$195,1),1,IF(Data!AR76&lt;=MEDIAN(Data!AR$4:AR$195),2,IF(Data!AR76&lt;=QUARTILE(Data!AR$4:AR$195,3),3,4)))</f>
        <v>2</v>
      </c>
      <c r="AS76" s="19">
        <f>IF(Data!AS76&lt;=QUARTILE(Data!AS$4:AS$195,1),1,IF(Data!AS76&lt;=MEDIAN(Data!AS$4:AS$195),2,IF(Data!AS76&lt;=QUARTILE(Data!AS$4:AS$195,3),3,4)))</f>
        <v>4</v>
      </c>
      <c r="AT76" s="19">
        <f>IF(Data!AT76&lt;=QUARTILE(Data!AT$4:AT$195,1),1,IF(Data!AT76&lt;=MEDIAN(Data!AT$4:AT$195),2,IF(Data!AT76&lt;=QUARTILE(Data!AT$4:AT$195,3),3,4)))</f>
        <v>4</v>
      </c>
      <c r="AU76" s="19">
        <f>IF(Data!AU76&lt;=QUARTILE(Data!AU$4:AU$195,1),1,IF(Data!AU76&lt;=MEDIAN(Data!AU$4:AU$195),2,IF(Data!AU76&lt;=QUARTILE(Data!AU$4:AU$195,3),3,4)))</f>
        <v>4</v>
      </c>
      <c r="AV76" s="14">
        <f>IF(Data!AV76&lt;=QUARTILE(Data!AV$4:AV$195,1),1,IF(Data!AV76&lt;=MEDIAN(Data!AV$4:AV$195),2,IF(Data!AV76&lt;=QUARTILE(Data!AV$4:AV$195,3),3,4)))</f>
        <v>1</v>
      </c>
      <c r="AW76" s="19">
        <f>IF(Data!AW76&lt;=QUARTILE(Data!AW$4:AW$195,1),1,IF(Data!AW76&lt;=MEDIAN(Data!AW$4:AW$195),2,IF(Data!AW76&lt;=QUARTILE(Data!AW$4:AW$195,3),3,4)))</f>
        <v>1</v>
      </c>
      <c r="AX76" s="19">
        <f>IF(Data!AX76&lt;=QUARTILE(Data!AX$4:AX$195,1),1,IF(Data!AX76&lt;=MEDIAN(Data!AX$4:AX$195),2,IF(Data!AX76&lt;=QUARTILE(Data!AX$4:AX$195,3),3,4)))</f>
        <v>2</v>
      </c>
      <c r="AY76" s="15">
        <f>IF(Data!AY76&lt;=QUARTILE(Data!AY$4:AY$195,1),1,IF(Data!AY76&lt;=MEDIAN(Data!AY$4:AY$195),2,IF(Data!AY76&lt;=QUARTILE(Data!AY$4:AY$195,3),3,4)))</f>
        <v>2</v>
      </c>
      <c r="AZ76" s="14">
        <f>IF(Data!AZ76&lt;=QUARTILE(Data!AZ$4:AZ$195,1),1,IF(Data!AZ76&lt;=MEDIAN(Data!AZ$4:AZ$195),2,IF(Data!AZ76&lt;=QUARTILE(Data!AZ$4:AZ$195,3),3,4)))</f>
        <v>3</v>
      </c>
      <c r="BA76" s="15">
        <f>IF(Data!BA76&lt;=QUARTILE(Data!BA$4:BA$195,1),1,IF(Data!BA76&lt;=MEDIAN(Data!BA$4:BA$195),2,IF(Data!BA76&lt;=QUARTILE(Data!BA$4:BA$195,3),3,4)))</f>
        <v>2</v>
      </c>
    </row>
    <row r="77" spans="1:53" x14ac:dyDescent="0.25">
      <c r="A77" s="4" t="s">
        <v>16</v>
      </c>
      <c r="B77" s="40">
        <v>2007</v>
      </c>
      <c r="C77" s="14">
        <v>7</v>
      </c>
      <c r="D77" s="19">
        <v>9</v>
      </c>
      <c r="E77" s="74" t="s">
        <v>96</v>
      </c>
      <c r="F77" s="19">
        <v>-3.9</v>
      </c>
      <c r="G77" s="19">
        <v>-0.2</v>
      </c>
      <c r="H77" s="15">
        <v>-3.8</v>
      </c>
      <c r="I77" s="14">
        <f>IF(Data!I77&lt;=QUARTILE(Data!I$4:I$195,1),1,IF(Data!I77&lt;=MEDIAN(Data!I$4:I$195),2,IF(Data!I77&lt;=QUARTILE(Data!I$4:I$195,3),3,4)))</f>
        <v>2</v>
      </c>
      <c r="J77" s="19">
        <f>IF(Data!J77&lt;=QUARTILE(Data!J$4:J$195,1),1,IF(Data!J77&lt;=MEDIAN(Data!J$4:J$195),2,IF(Data!J77&lt;=QUARTILE(Data!J$4:J$195,3),3,4)))</f>
        <v>3</v>
      </c>
      <c r="K77" s="19">
        <f>IF(Data!K77&lt;=QUARTILE(Data!K$4:K$195,1),1,IF(Data!K77&lt;=MEDIAN(Data!K$4:K$195),2,IF(Data!K77&lt;=QUARTILE(Data!K$4:K$195,3),3,4)))</f>
        <v>2</v>
      </c>
      <c r="L77" s="15">
        <f>IF(Data!L77&lt;=QUARTILE(Data!L$4:L$195,1),1,IF(Data!L77&lt;=MEDIAN(Data!L$4:L$195),2,IF(Data!L77&lt;=QUARTILE(Data!L$4:L$195,3),3,4)))</f>
        <v>3</v>
      </c>
      <c r="M77" s="14">
        <f>IF(Data!M77&lt;=QUARTILE(Data!M$4:M$195,1),1,IF(Data!M77&lt;=MEDIAN(Data!M$4:M$195),2,IF(Data!M77&lt;=QUARTILE(Data!M$4:M$195,3),3,4)))</f>
        <v>3</v>
      </c>
      <c r="N77" s="19">
        <f>IF(Data!N77&lt;=QUARTILE(Data!N$4:N$195,1),1,IF(Data!N77&lt;=MEDIAN(Data!N$4:N$195),2,IF(Data!N77&lt;=QUARTILE(Data!N$4:N$195,3),3,4)))</f>
        <v>2</v>
      </c>
      <c r="O77" s="19">
        <f>IF(Data!O77&lt;=QUARTILE(Data!O$4:O$195,1),1,IF(Data!O77&lt;=MEDIAN(Data!O$4:O$195),2,IF(Data!O77&lt;=QUARTILE(Data!O$4:O$195,3),3,4)))</f>
        <v>3</v>
      </c>
      <c r="P77" s="19">
        <f>IF(Data!P77&lt;=QUARTILE(Data!P$4:P$195,1),1,IF(Data!P77&lt;=MEDIAN(Data!P$4:P$195),2,IF(Data!P77&lt;=QUARTILE(Data!P$4:P$195,3),3,4)))</f>
        <v>2</v>
      </c>
      <c r="Q77" s="19">
        <f>IF(Data!Q77&lt;=QUARTILE(Data!Q$4:Q$195,1),1,IF(Data!Q77&lt;=MEDIAN(Data!Q$4:Q$195),2,IF(Data!Q77&lt;=QUARTILE(Data!Q$4:Q$195,3),3,4)))</f>
        <v>3</v>
      </c>
      <c r="R77" s="19">
        <f>IF(Data!R77&lt;=QUARTILE(Data!R$4:R$195,1),1,IF(Data!R77&lt;=MEDIAN(Data!R$4:R$195),2,IF(Data!R77&lt;=QUARTILE(Data!R$4:R$195,3),3,4)))</f>
        <v>3</v>
      </c>
      <c r="S77" s="19">
        <f>IF(Data!S77&lt;=QUARTILE(Data!S$4:S$195,1),1,IF(Data!S77&lt;=MEDIAN(Data!S$4:S$195),2,IF(Data!S77&lt;=QUARTILE(Data!S$4:S$195,3),3,4)))</f>
        <v>2</v>
      </c>
      <c r="T77" s="19">
        <f>IF(Data!T77&lt;=QUARTILE(Data!T$4:T$195,1),1,IF(Data!T77&lt;=MEDIAN(Data!T$4:T$195),2,IF(Data!T77&lt;=QUARTILE(Data!T$4:T$195,3),3,4)))</f>
        <v>2</v>
      </c>
      <c r="U77" s="14">
        <f>IF(Data!U77&lt;=QUARTILE(Data!U$4:U$195,1),1,IF(Data!U77&lt;=MEDIAN(Data!U$4:U$195),2,IF(Data!U77&lt;=QUARTILE(Data!U$4:U$195,3),3,4)))</f>
        <v>2</v>
      </c>
      <c r="V77" s="19">
        <f>IF(Data!V77&lt;=QUARTILE(Data!V$4:V$195,1),1,IF(Data!V77&lt;=MEDIAN(Data!V$4:V$195),2,IF(Data!V77&lt;=QUARTILE(Data!V$4:V$195,3),3,4)))</f>
        <v>3</v>
      </c>
      <c r="W77" s="19">
        <f>IF(Data!W77&lt;=QUARTILE(Data!W$4:W$195,1),1,IF(Data!W77&lt;=MEDIAN(Data!W$4:W$195),2,IF(Data!W77&lt;=QUARTILE(Data!W$4:W$195,3),3,4)))</f>
        <v>2</v>
      </c>
      <c r="X77" s="15">
        <f>IF(Data!X77&lt;=QUARTILE(Data!X$4:X$195,1),1,IF(Data!X77&lt;=MEDIAN(Data!X$4:X$195),2,IF(Data!X77&lt;=QUARTILE(Data!X$4:X$195,3),3,4)))</f>
        <v>2</v>
      </c>
      <c r="Y77" s="14">
        <f>IF(Data!Y77&lt;=QUARTILE(Data!Y$4:Y$195,1),1,IF(Data!Y77&lt;=MEDIAN(Data!Y$4:Y$195),2,IF(Data!Y77&lt;=QUARTILE(Data!Y$4:Y$195,3),3,4)))</f>
        <v>2</v>
      </c>
      <c r="Z77" s="22">
        <f>IF(Data!Z77&lt;=QUARTILE(Data!Z$4:Z$195,1),1,IF(Data!Z77&lt;=MEDIAN(Data!Z$4:Z$195),2,IF(Data!Z77&lt;=QUARTILE(Data!Z$4:Z$195,3),3,4)))</f>
        <v>3</v>
      </c>
      <c r="AA77" s="14">
        <f>IF(Data!AA77&lt;=QUARTILE(Data!AA$4:AA$195,1),1,IF(Data!AA77&lt;=MEDIAN(Data!AA$4:AA$195),2,IF(Data!AA77&lt;=QUARTILE(Data!AA$4:AA$195,3),3,4)))</f>
        <v>1</v>
      </c>
      <c r="AB77" s="15">
        <f>IF(Data!AB77&lt;=QUARTILE(Data!AB$4:AB$195,1),1,IF(Data!AB77&lt;=MEDIAN(Data!AB$4:AB$195),2,IF(Data!AB77&lt;=QUARTILE(Data!AB$4:AB$195,3),3,4)))</f>
        <v>1</v>
      </c>
      <c r="AC77" s="14">
        <f>IF(Data!AC77&lt;=QUARTILE(Data!AC$4:AC$195,1),1,IF(Data!AC77&lt;=MEDIAN(Data!AC$4:AC$195),2,IF(Data!AC77&lt;=QUARTILE(Data!AC$4:AC$195,3),3,4)))</f>
        <v>1</v>
      </c>
      <c r="AD77" s="19">
        <f>IF(Data!AD77&lt;=QUARTILE(Data!AD$4:AD$195,1),1,IF(Data!AD77&lt;=MEDIAN(Data!AD$4:AD$195),2,IF(Data!AD77&lt;=QUARTILE(Data!AD$4:AD$195,3),3,4)))</f>
        <v>1</v>
      </c>
      <c r="AE77" s="14">
        <f>IF(Data!AE77&lt;=QUARTILE(Data!AE$4:AE$195,1),1,IF(Data!AE77&lt;=MEDIAN(Data!AE$4:AE$195),2,IF(Data!AE77&lt;=QUARTILE(Data!AE$4:AE$195,3),3,4)))</f>
        <v>2</v>
      </c>
      <c r="AF77" s="19">
        <f>IF(Data!AF77&lt;=QUARTILE(Data!AF$4:AF$195,1),1,IF(Data!AF77&lt;=MEDIAN(Data!AF$4:AF$195),2,IF(Data!AF77&lt;=QUARTILE(Data!AF$4:AF$195,3),3,4)))</f>
        <v>3</v>
      </c>
      <c r="AG77" s="19">
        <f>IF(Data!AG77&lt;=QUARTILE(Data!AG$4:AG$195,1),1,IF(Data!AG77&lt;=MEDIAN(Data!AG$4:AG$195),2,IF(Data!AG77&lt;=QUARTILE(Data!AG$4:AG$195,3),3,4)))</f>
        <v>3</v>
      </c>
      <c r="AH77" s="15">
        <f>IF(Data!AH77&lt;=QUARTILE(Data!AH$4:AH$195,1),1,IF(Data!AH77&lt;=MEDIAN(Data!AH$4:AH$195),2,IF(Data!AH77&lt;=QUARTILE(Data!AH$4:AH$195,3),3,4)))</f>
        <v>3</v>
      </c>
      <c r="AI77" s="14">
        <f>IF(Data!AI77&lt;=QUARTILE(Data!AI$4:AI$195,1),1,IF(Data!AI77&lt;=MEDIAN(Data!AI$4:AI$195),2,IF(Data!AI77&lt;=QUARTILE(Data!AI$4:AI$195,3),3,4)))</f>
        <v>1</v>
      </c>
      <c r="AJ77" s="15">
        <f>IF(Data!AJ77&lt;=QUARTILE(Data!AJ$4:AJ$195,1),1,IF(Data!AJ77&lt;=MEDIAN(Data!AJ$4:AJ$195),2,IF(Data!AJ77&lt;=QUARTILE(Data!AJ$4:AJ$195,3),3,4)))</f>
        <v>2</v>
      </c>
      <c r="AK77" s="14">
        <f>IF(Data!AK77&lt;=QUARTILE(Data!AK$4:AK$195,1),1,IF(Data!AK77&lt;=MEDIAN(Data!AK$4:AK$195),2,IF(Data!AK77&lt;=QUARTILE(Data!AK$4:AK$195,3),3,4)))</f>
        <v>4</v>
      </c>
      <c r="AL77" s="19">
        <f>IF(Data!AL77&lt;=QUARTILE(Data!AL$4:AL$195,1),1,IF(Data!AL77&lt;=MEDIAN(Data!AL$4:AL$195),2,IF(Data!AL77&lt;=QUARTILE(Data!AL$4:AL$195,3),3,4)))</f>
        <v>3</v>
      </c>
      <c r="AM77" s="19">
        <f>IF(Data!AM77&lt;=QUARTILE(Data!AM$4:AM$195,1),1,IF(Data!AM77&lt;=MEDIAN(Data!AM$4:AM$195),2,IF(Data!AM77&lt;=QUARTILE(Data!AM$4:AM$195,3),3,4)))</f>
        <v>2</v>
      </c>
      <c r="AN77" s="15">
        <f>IF(Data!AN77&lt;=QUARTILE(Data!AN$4:AN$195,1),1,IF(Data!AN77&lt;=MEDIAN(Data!AN$4:AN$195),2,IF(Data!AN77&lt;=QUARTILE(Data!AN$4:AN$195,3),3,4)))</f>
        <v>3</v>
      </c>
      <c r="AO77" s="14">
        <f>IF(Data!AO77&lt;=QUARTILE(Data!AO$4:AO$195,1),1,IF(Data!AO77&lt;=MEDIAN(Data!AO$4:AO$195),2,IF(Data!AO77&lt;=QUARTILE(Data!AO$4:AO$195,3),3,4)))</f>
        <v>1</v>
      </c>
      <c r="AP77" s="19">
        <f>IF(Data!AP77&lt;=QUARTILE(Data!AP$4:AP$195,1),1,IF(Data!AP77&lt;=MEDIAN(Data!AP$4:AP$195),2,IF(Data!AP77&lt;=QUARTILE(Data!AP$4:AP$195,3),3,4)))</f>
        <v>1</v>
      </c>
      <c r="AQ77" s="19">
        <f>IF(Data!AQ77&lt;=QUARTILE(Data!AQ$4:AQ$195,1),1,IF(Data!AQ77&lt;=MEDIAN(Data!AQ$4:AQ$195),2,IF(Data!AQ77&lt;=QUARTILE(Data!AQ$4:AQ$195,3),3,4)))</f>
        <v>1</v>
      </c>
      <c r="AR77" s="19">
        <f>IF(Data!AR77&lt;=QUARTILE(Data!AR$4:AR$195,1),1,IF(Data!AR77&lt;=MEDIAN(Data!AR$4:AR$195),2,IF(Data!AR77&lt;=QUARTILE(Data!AR$4:AR$195,3),3,4)))</f>
        <v>3</v>
      </c>
      <c r="AS77" s="19">
        <f>IF(Data!AS77&lt;=QUARTILE(Data!AS$4:AS$195,1),1,IF(Data!AS77&lt;=MEDIAN(Data!AS$4:AS$195),2,IF(Data!AS77&lt;=QUARTILE(Data!AS$4:AS$195,3),3,4)))</f>
        <v>2</v>
      </c>
      <c r="AT77" s="19">
        <f>IF(Data!AT77&lt;=QUARTILE(Data!AT$4:AT$195,1),1,IF(Data!AT77&lt;=MEDIAN(Data!AT$4:AT$195),2,IF(Data!AT77&lt;=QUARTILE(Data!AT$4:AT$195,3),3,4)))</f>
        <v>2</v>
      </c>
      <c r="AU77" s="19">
        <f>IF(Data!AU77&lt;=QUARTILE(Data!AU$4:AU$195,1),1,IF(Data!AU77&lt;=MEDIAN(Data!AU$4:AU$195),2,IF(Data!AU77&lt;=QUARTILE(Data!AU$4:AU$195,3),3,4)))</f>
        <v>2</v>
      </c>
      <c r="AV77" s="14">
        <f>IF(Data!AV77&lt;=QUARTILE(Data!AV$4:AV$195,1),1,IF(Data!AV77&lt;=MEDIAN(Data!AV$4:AV$195),2,IF(Data!AV77&lt;=QUARTILE(Data!AV$4:AV$195,3),3,4)))</f>
        <v>4</v>
      </c>
      <c r="AW77" s="19">
        <f>IF(Data!AW77&lt;=QUARTILE(Data!AW$4:AW$195,1),1,IF(Data!AW77&lt;=MEDIAN(Data!AW$4:AW$195),2,IF(Data!AW77&lt;=QUARTILE(Data!AW$4:AW$195,3),3,4)))</f>
        <v>4</v>
      </c>
      <c r="AX77" s="19">
        <f>IF(Data!AX77&lt;=QUARTILE(Data!AX$4:AX$195,1),1,IF(Data!AX77&lt;=MEDIAN(Data!AX$4:AX$195),2,IF(Data!AX77&lt;=QUARTILE(Data!AX$4:AX$195,3),3,4)))</f>
        <v>3</v>
      </c>
      <c r="AY77" s="15">
        <f>IF(Data!AY77&lt;=QUARTILE(Data!AY$4:AY$195,1),1,IF(Data!AY77&lt;=MEDIAN(Data!AY$4:AY$195),2,IF(Data!AY77&lt;=QUARTILE(Data!AY$4:AY$195,3),3,4)))</f>
        <v>4</v>
      </c>
      <c r="AZ77" s="14">
        <f>IF(Data!AZ77&lt;=QUARTILE(Data!AZ$4:AZ$195,1),1,IF(Data!AZ77&lt;=MEDIAN(Data!AZ$4:AZ$195),2,IF(Data!AZ77&lt;=QUARTILE(Data!AZ$4:AZ$195,3),3,4)))</f>
        <v>2</v>
      </c>
      <c r="BA77" s="15">
        <f>IF(Data!BA77&lt;=QUARTILE(Data!BA$4:BA$195,1),1,IF(Data!BA77&lt;=MEDIAN(Data!BA$4:BA$195),2,IF(Data!BA77&lt;=QUARTILE(Data!BA$4:BA$195,3),3,4)))</f>
        <v>4</v>
      </c>
    </row>
    <row r="78" spans="1:53" x14ac:dyDescent="0.25">
      <c r="A78" s="4" t="s">
        <v>26</v>
      </c>
      <c r="B78" s="40">
        <v>2007</v>
      </c>
      <c r="C78" s="14">
        <v>7</v>
      </c>
      <c r="D78" s="19">
        <v>9</v>
      </c>
      <c r="E78" s="74" t="s">
        <v>96</v>
      </c>
      <c r="F78" s="19">
        <v>-3.6</v>
      </c>
      <c r="G78" s="19">
        <v>1.4</v>
      </c>
      <c r="H78" s="15">
        <v>-5</v>
      </c>
      <c r="I78" s="14">
        <f>IF(Data!I78&lt;=QUARTILE(Data!I$4:I$195,1),1,IF(Data!I78&lt;=MEDIAN(Data!I$4:I$195),2,IF(Data!I78&lt;=QUARTILE(Data!I$4:I$195,3),3,4)))</f>
        <v>3</v>
      </c>
      <c r="J78" s="19">
        <f>IF(Data!J78&lt;=QUARTILE(Data!J$4:J$195,1),1,IF(Data!J78&lt;=MEDIAN(Data!J$4:J$195),2,IF(Data!J78&lt;=QUARTILE(Data!J$4:J$195,3),3,4)))</f>
        <v>2</v>
      </c>
      <c r="K78" s="19">
        <f>IF(Data!K78&lt;=QUARTILE(Data!K$4:K$195,1),1,IF(Data!K78&lt;=MEDIAN(Data!K$4:K$195),2,IF(Data!K78&lt;=QUARTILE(Data!K$4:K$195,3),3,4)))</f>
        <v>1</v>
      </c>
      <c r="L78" s="15">
        <f>IF(Data!L78&lt;=QUARTILE(Data!L$4:L$195,1),1,IF(Data!L78&lt;=MEDIAN(Data!L$4:L$195),2,IF(Data!L78&lt;=QUARTILE(Data!L$4:L$195,3),3,4)))</f>
        <v>3</v>
      </c>
      <c r="M78" s="14">
        <f>IF(Data!M78&lt;=QUARTILE(Data!M$4:M$195,1),1,IF(Data!M78&lt;=MEDIAN(Data!M$4:M$195),2,IF(Data!M78&lt;=QUARTILE(Data!M$4:M$195,3),3,4)))</f>
        <v>4</v>
      </c>
      <c r="N78" s="19">
        <f>IF(Data!N78&lt;=QUARTILE(Data!N$4:N$195,1),1,IF(Data!N78&lt;=MEDIAN(Data!N$4:N$195),2,IF(Data!N78&lt;=QUARTILE(Data!N$4:N$195,3),3,4)))</f>
        <v>4</v>
      </c>
      <c r="O78" s="19">
        <f>IF(Data!O78&lt;=QUARTILE(Data!O$4:O$195,1),1,IF(Data!O78&lt;=MEDIAN(Data!O$4:O$195),2,IF(Data!O78&lt;=QUARTILE(Data!O$4:O$195,3),3,4)))</f>
        <v>4</v>
      </c>
      <c r="P78" s="19">
        <f>IF(Data!P78&lt;=QUARTILE(Data!P$4:P$195,1),1,IF(Data!P78&lt;=MEDIAN(Data!P$4:P$195),2,IF(Data!P78&lt;=QUARTILE(Data!P$4:P$195,3),3,4)))</f>
        <v>2</v>
      </c>
      <c r="Q78" s="19">
        <f>IF(Data!Q78&lt;=QUARTILE(Data!Q$4:Q$195,1),1,IF(Data!Q78&lt;=MEDIAN(Data!Q$4:Q$195),2,IF(Data!Q78&lt;=QUARTILE(Data!Q$4:Q$195,3),3,4)))</f>
        <v>4</v>
      </c>
      <c r="R78" s="19">
        <f>IF(Data!R78&lt;=QUARTILE(Data!R$4:R$195,1),1,IF(Data!R78&lt;=MEDIAN(Data!R$4:R$195),2,IF(Data!R78&lt;=QUARTILE(Data!R$4:R$195,3),3,4)))</f>
        <v>2</v>
      </c>
      <c r="S78" s="19">
        <f>IF(Data!S78&lt;=QUARTILE(Data!S$4:S$195,1),1,IF(Data!S78&lt;=MEDIAN(Data!S$4:S$195),2,IF(Data!S78&lt;=QUARTILE(Data!S$4:S$195,3),3,4)))</f>
        <v>4</v>
      </c>
      <c r="T78" s="19">
        <f>IF(Data!T78&lt;=QUARTILE(Data!T$4:T$195,1),1,IF(Data!T78&lt;=MEDIAN(Data!T$4:T$195),2,IF(Data!T78&lt;=QUARTILE(Data!T$4:T$195,3),3,4)))</f>
        <v>4</v>
      </c>
      <c r="U78" s="14">
        <f>IF(Data!U78&lt;=QUARTILE(Data!U$4:U$195,1),1,IF(Data!U78&lt;=MEDIAN(Data!U$4:U$195),2,IF(Data!U78&lt;=QUARTILE(Data!U$4:U$195,3),3,4)))</f>
        <v>1</v>
      </c>
      <c r="V78" s="19">
        <f>IF(Data!V78&lt;=QUARTILE(Data!V$4:V$195,1),1,IF(Data!V78&lt;=MEDIAN(Data!V$4:V$195),2,IF(Data!V78&lt;=QUARTILE(Data!V$4:V$195,3),3,4)))</f>
        <v>1</v>
      </c>
      <c r="W78" s="19">
        <f>IF(Data!W78&lt;=QUARTILE(Data!W$4:W$195,1),1,IF(Data!W78&lt;=MEDIAN(Data!W$4:W$195),2,IF(Data!W78&lt;=QUARTILE(Data!W$4:W$195,3),3,4)))</f>
        <v>2</v>
      </c>
      <c r="X78" s="15">
        <f>IF(Data!X78&lt;=QUARTILE(Data!X$4:X$195,1),1,IF(Data!X78&lt;=MEDIAN(Data!X$4:X$195),2,IF(Data!X78&lt;=QUARTILE(Data!X$4:X$195,3),3,4)))</f>
        <v>1</v>
      </c>
      <c r="Y78" s="14">
        <f>IF(Data!Y78&lt;=QUARTILE(Data!Y$4:Y$195,1),1,IF(Data!Y78&lt;=MEDIAN(Data!Y$4:Y$195),2,IF(Data!Y78&lt;=QUARTILE(Data!Y$4:Y$195,3),3,4)))</f>
        <v>4</v>
      </c>
      <c r="Z78" s="22">
        <f>IF(Data!Z78&lt;=QUARTILE(Data!Z$4:Z$195,1),1,IF(Data!Z78&lt;=MEDIAN(Data!Z$4:Z$195),2,IF(Data!Z78&lt;=QUARTILE(Data!Z$4:Z$195,3),3,4)))</f>
        <v>3</v>
      </c>
      <c r="AA78" s="14">
        <f>IF(Data!AA78&lt;=QUARTILE(Data!AA$4:AA$195,1),1,IF(Data!AA78&lt;=MEDIAN(Data!AA$4:AA$195),2,IF(Data!AA78&lt;=QUARTILE(Data!AA$4:AA$195,3),3,4)))</f>
        <v>1</v>
      </c>
      <c r="AB78" s="15">
        <f>IF(Data!AB78&lt;=QUARTILE(Data!AB$4:AB$195,1),1,IF(Data!AB78&lt;=MEDIAN(Data!AB$4:AB$195),2,IF(Data!AB78&lt;=QUARTILE(Data!AB$4:AB$195,3),3,4)))</f>
        <v>1</v>
      </c>
      <c r="AC78" s="14">
        <f>IF(Data!AC78&lt;=QUARTILE(Data!AC$4:AC$195,1),1,IF(Data!AC78&lt;=MEDIAN(Data!AC$4:AC$195),2,IF(Data!AC78&lt;=QUARTILE(Data!AC$4:AC$195,3),3,4)))</f>
        <v>3</v>
      </c>
      <c r="AD78" s="19">
        <f>IF(Data!AD78&lt;=QUARTILE(Data!AD$4:AD$195,1),1,IF(Data!AD78&lt;=MEDIAN(Data!AD$4:AD$195),2,IF(Data!AD78&lt;=QUARTILE(Data!AD$4:AD$195,3),3,4)))</f>
        <v>4</v>
      </c>
      <c r="AE78" s="14">
        <f>IF(Data!AE78&lt;=QUARTILE(Data!AE$4:AE$195,1),1,IF(Data!AE78&lt;=MEDIAN(Data!AE$4:AE$195),2,IF(Data!AE78&lt;=QUARTILE(Data!AE$4:AE$195,3),3,4)))</f>
        <v>2</v>
      </c>
      <c r="AF78" s="19">
        <f>IF(Data!AF78&lt;=QUARTILE(Data!AF$4:AF$195,1),1,IF(Data!AF78&lt;=MEDIAN(Data!AF$4:AF$195),2,IF(Data!AF78&lt;=QUARTILE(Data!AF$4:AF$195,3),3,4)))</f>
        <v>2</v>
      </c>
      <c r="AG78" s="19">
        <f>IF(Data!AG78&lt;=QUARTILE(Data!AG$4:AG$195,1),1,IF(Data!AG78&lt;=MEDIAN(Data!AG$4:AG$195),2,IF(Data!AG78&lt;=QUARTILE(Data!AG$4:AG$195,3),3,4)))</f>
        <v>4</v>
      </c>
      <c r="AH78" s="15">
        <f>IF(Data!AH78&lt;=QUARTILE(Data!AH$4:AH$195,1),1,IF(Data!AH78&lt;=MEDIAN(Data!AH$4:AH$195),2,IF(Data!AH78&lt;=QUARTILE(Data!AH$4:AH$195,3),3,4)))</f>
        <v>4</v>
      </c>
      <c r="AI78" s="14">
        <f>IF(Data!AI78&lt;=QUARTILE(Data!AI$4:AI$195,1),1,IF(Data!AI78&lt;=MEDIAN(Data!AI$4:AI$195),2,IF(Data!AI78&lt;=QUARTILE(Data!AI$4:AI$195,3),3,4)))</f>
        <v>1</v>
      </c>
      <c r="AJ78" s="15">
        <f>IF(Data!AJ78&lt;=QUARTILE(Data!AJ$4:AJ$195,1),1,IF(Data!AJ78&lt;=MEDIAN(Data!AJ$4:AJ$195),2,IF(Data!AJ78&lt;=QUARTILE(Data!AJ$4:AJ$195,3),3,4)))</f>
        <v>2</v>
      </c>
      <c r="AK78" s="14">
        <f>IF(Data!AK78&lt;=QUARTILE(Data!AK$4:AK$195,1),1,IF(Data!AK78&lt;=MEDIAN(Data!AK$4:AK$195),2,IF(Data!AK78&lt;=QUARTILE(Data!AK$4:AK$195,3),3,4)))</f>
        <v>4</v>
      </c>
      <c r="AL78" s="19">
        <f>IF(Data!AL78&lt;=QUARTILE(Data!AL$4:AL$195,1),1,IF(Data!AL78&lt;=MEDIAN(Data!AL$4:AL$195),2,IF(Data!AL78&lt;=QUARTILE(Data!AL$4:AL$195,3),3,4)))</f>
        <v>4</v>
      </c>
      <c r="AM78" s="19">
        <f>IF(Data!AM78&lt;=QUARTILE(Data!AM$4:AM$195,1),1,IF(Data!AM78&lt;=MEDIAN(Data!AM$4:AM$195),2,IF(Data!AM78&lt;=QUARTILE(Data!AM$4:AM$195,3),3,4)))</f>
        <v>4</v>
      </c>
      <c r="AN78" s="15">
        <f>IF(Data!AN78&lt;=QUARTILE(Data!AN$4:AN$195,1),1,IF(Data!AN78&lt;=MEDIAN(Data!AN$4:AN$195),2,IF(Data!AN78&lt;=QUARTILE(Data!AN$4:AN$195,3),3,4)))</f>
        <v>4</v>
      </c>
      <c r="AO78" s="14">
        <f>IF(Data!AO78&lt;=QUARTILE(Data!AO$4:AO$195,1),1,IF(Data!AO78&lt;=MEDIAN(Data!AO$4:AO$195),2,IF(Data!AO78&lt;=QUARTILE(Data!AO$4:AO$195,3),3,4)))</f>
        <v>4</v>
      </c>
      <c r="AP78" s="19">
        <f>IF(Data!AP78&lt;=QUARTILE(Data!AP$4:AP$195,1),1,IF(Data!AP78&lt;=MEDIAN(Data!AP$4:AP$195),2,IF(Data!AP78&lt;=QUARTILE(Data!AP$4:AP$195,3),3,4)))</f>
        <v>4</v>
      </c>
      <c r="AQ78" s="19">
        <f>IF(Data!AQ78&lt;=QUARTILE(Data!AQ$4:AQ$195,1),1,IF(Data!AQ78&lt;=MEDIAN(Data!AQ$4:AQ$195),2,IF(Data!AQ78&lt;=QUARTILE(Data!AQ$4:AQ$195,3),3,4)))</f>
        <v>4</v>
      </c>
      <c r="AR78" s="19">
        <f>IF(Data!AR78&lt;=QUARTILE(Data!AR$4:AR$195,1),1,IF(Data!AR78&lt;=MEDIAN(Data!AR$4:AR$195),2,IF(Data!AR78&lt;=QUARTILE(Data!AR$4:AR$195,3),3,4)))</f>
        <v>4</v>
      </c>
      <c r="AS78" s="19">
        <f>IF(Data!AS78&lt;=QUARTILE(Data!AS$4:AS$195,1),1,IF(Data!AS78&lt;=MEDIAN(Data!AS$4:AS$195),2,IF(Data!AS78&lt;=QUARTILE(Data!AS$4:AS$195,3),3,4)))</f>
        <v>4</v>
      </c>
      <c r="AT78" s="19">
        <f>IF(Data!AT78&lt;=QUARTILE(Data!AT$4:AT$195,1),1,IF(Data!AT78&lt;=MEDIAN(Data!AT$4:AT$195),2,IF(Data!AT78&lt;=QUARTILE(Data!AT$4:AT$195,3),3,4)))</f>
        <v>3</v>
      </c>
      <c r="AU78" s="19">
        <f>IF(Data!AU78&lt;=QUARTILE(Data!AU$4:AU$195,1),1,IF(Data!AU78&lt;=MEDIAN(Data!AU$4:AU$195),2,IF(Data!AU78&lt;=QUARTILE(Data!AU$4:AU$195,3),3,4)))</f>
        <v>3</v>
      </c>
      <c r="AV78" s="14">
        <f>IF(Data!AV78&lt;=QUARTILE(Data!AV$4:AV$195,1),1,IF(Data!AV78&lt;=MEDIAN(Data!AV$4:AV$195),2,IF(Data!AV78&lt;=QUARTILE(Data!AV$4:AV$195,3),3,4)))</f>
        <v>3</v>
      </c>
      <c r="AW78" s="19">
        <f>IF(Data!AW78&lt;=QUARTILE(Data!AW$4:AW$195,1),1,IF(Data!AW78&lt;=MEDIAN(Data!AW$4:AW$195),2,IF(Data!AW78&lt;=QUARTILE(Data!AW$4:AW$195,3),3,4)))</f>
        <v>3</v>
      </c>
      <c r="AX78" s="19">
        <f>IF(Data!AX78&lt;=QUARTILE(Data!AX$4:AX$195,1),1,IF(Data!AX78&lt;=MEDIAN(Data!AX$4:AX$195),2,IF(Data!AX78&lt;=QUARTILE(Data!AX$4:AX$195,3),3,4)))</f>
        <v>4</v>
      </c>
      <c r="AY78" s="15">
        <f>IF(Data!AY78&lt;=QUARTILE(Data!AY$4:AY$195,1),1,IF(Data!AY78&lt;=MEDIAN(Data!AY$4:AY$195),2,IF(Data!AY78&lt;=QUARTILE(Data!AY$4:AY$195,3),3,4)))</f>
        <v>4</v>
      </c>
      <c r="AZ78" s="14">
        <f>IF(Data!AZ78&lt;=QUARTILE(Data!AZ$4:AZ$195,1),1,IF(Data!AZ78&lt;=MEDIAN(Data!AZ$4:AZ$195),2,IF(Data!AZ78&lt;=QUARTILE(Data!AZ$4:AZ$195,3),3,4)))</f>
        <v>3</v>
      </c>
      <c r="BA78" s="15">
        <f>IF(Data!BA78&lt;=QUARTILE(Data!BA$4:BA$195,1),1,IF(Data!BA78&lt;=MEDIAN(Data!BA$4:BA$195),2,IF(Data!BA78&lt;=QUARTILE(Data!BA$4:BA$195,3),3,4)))</f>
        <v>4</v>
      </c>
    </row>
    <row r="79" spans="1:53" x14ac:dyDescent="0.25">
      <c r="A79" s="4" t="s">
        <v>24</v>
      </c>
      <c r="B79" s="40">
        <v>2007</v>
      </c>
      <c r="C79" s="14">
        <v>13</v>
      </c>
      <c r="D79" s="19">
        <v>3</v>
      </c>
      <c r="E79" s="74" t="s">
        <v>97</v>
      </c>
      <c r="F79" s="19">
        <v>9</v>
      </c>
      <c r="G79" s="19">
        <v>5.7</v>
      </c>
      <c r="H79" s="15">
        <v>3.3</v>
      </c>
      <c r="I79" s="14">
        <f>IF(Data!I79&lt;=QUARTILE(Data!I$4:I$195,1),1,IF(Data!I79&lt;=MEDIAN(Data!I$4:I$195),2,IF(Data!I79&lt;=QUARTILE(Data!I$4:I$195,3),3,4)))</f>
        <v>4</v>
      </c>
      <c r="J79" s="19">
        <f>IF(Data!J79&lt;=QUARTILE(Data!J$4:J$195,1),1,IF(Data!J79&lt;=MEDIAN(Data!J$4:J$195),2,IF(Data!J79&lt;=QUARTILE(Data!J$4:J$195,3),3,4)))</f>
        <v>4</v>
      </c>
      <c r="K79" s="19">
        <f>IF(Data!K79&lt;=QUARTILE(Data!K$4:K$195,1),1,IF(Data!K79&lt;=MEDIAN(Data!K$4:K$195),2,IF(Data!K79&lt;=QUARTILE(Data!K$4:K$195,3),3,4)))</f>
        <v>2</v>
      </c>
      <c r="L79" s="15">
        <f>IF(Data!L79&lt;=QUARTILE(Data!L$4:L$195,1),1,IF(Data!L79&lt;=MEDIAN(Data!L$4:L$195),2,IF(Data!L79&lt;=QUARTILE(Data!L$4:L$195,3),3,4)))</f>
        <v>3</v>
      </c>
      <c r="M79" s="14">
        <f>IF(Data!M79&lt;=QUARTILE(Data!M$4:M$195,1),1,IF(Data!M79&lt;=MEDIAN(Data!M$4:M$195),2,IF(Data!M79&lt;=QUARTILE(Data!M$4:M$195,3),3,4)))</f>
        <v>4</v>
      </c>
      <c r="N79" s="19">
        <f>IF(Data!N79&lt;=QUARTILE(Data!N$4:N$195,1),1,IF(Data!N79&lt;=MEDIAN(Data!N$4:N$195),2,IF(Data!N79&lt;=QUARTILE(Data!N$4:N$195,3),3,4)))</f>
        <v>4</v>
      </c>
      <c r="O79" s="19">
        <f>IF(Data!O79&lt;=QUARTILE(Data!O$4:O$195,1),1,IF(Data!O79&lt;=MEDIAN(Data!O$4:O$195),2,IF(Data!O79&lt;=QUARTILE(Data!O$4:O$195,3),3,4)))</f>
        <v>4</v>
      </c>
      <c r="P79" s="19">
        <f>IF(Data!P79&lt;=QUARTILE(Data!P$4:P$195,1),1,IF(Data!P79&lt;=MEDIAN(Data!P$4:P$195),2,IF(Data!P79&lt;=QUARTILE(Data!P$4:P$195,3),3,4)))</f>
        <v>4</v>
      </c>
      <c r="Q79" s="19">
        <f>IF(Data!Q79&lt;=QUARTILE(Data!Q$4:Q$195,1),1,IF(Data!Q79&lt;=MEDIAN(Data!Q$4:Q$195),2,IF(Data!Q79&lt;=QUARTILE(Data!Q$4:Q$195,3),3,4)))</f>
        <v>4</v>
      </c>
      <c r="R79" s="19">
        <f>IF(Data!R79&lt;=QUARTILE(Data!R$4:R$195,1),1,IF(Data!R79&lt;=MEDIAN(Data!R$4:R$195),2,IF(Data!R79&lt;=QUARTILE(Data!R$4:R$195,3),3,4)))</f>
        <v>4</v>
      </c>
      <c r="S79" s="19">
        <f>IF(Data!S79&lt;=QUARTILE(Data!S$4:S$195,1),1,IF(Data!S79&lt;=MEDIAN(Data!S$4:S$195),2,IF(Data!S79&lt;=QUARTILE(Data!S$4:S$195,3),3,4)))</f>
        <v>1</v>
      </c>
      <c r="T79" s="19">
        <f>IF(Data!T79&lt;=QUARTILE(Data!T$4:T$195,1),1,IF(Data!T79&lt;=MEDIAN(Data!T$4:T$195),2,IF(Data!T79&lt;=QUARTILE(Data!T$4:T$195,3),3,4)))</f>
        <v>1</v>
      </c>
      <c r="U79" s="14">
        <f>IF(Data!U79&lt;=QUARTILE(Data!U$4:U$195,1),1,IF(Data!U79&lt;=MEDIAN(Data!U$4:U$195),2,IF(Data!U79&lt;=QUARTILE(Data!U$4:U$195,3),3,4)))</f>
        <v>1</v>
      </c>
      <c r="V79" s="19">
        <f>IF(Data!V79&lt;=QUARTILE(Data!V$4:V$195,1),1,IF(Data!V79&lt;=MEDIAN(Data!V$4:V$195),2,IF(Data!V79&lt;=QUARTILE(Data!V$4:V$195,3),3,4)))</f>
        <v>1</v>
      </c>
      <c r="W79" s="19">
        <f>IF(Data!W79&lt;=QUARTILE(Data!W$4:W$195,1),1,IF(Data!W79&lt;=MEDIAN(Data!W$4:W$195),2,IF(Data!W79&lt;=QUARTILE(Data!W$4:W$195,3),3,4)))</f>
        <v>2</v>
      </c>
      <c r="X79" s="15">
        <f>IF(Data!X79&lt;=QUARTILE(Data!X$4:X$195,1),1,IF(Data!X79&lt;=MEDIAN(Data!X$4:X$195),2,IF(Data!X79&lt;=QUARTILE(Data!X$4:X$195,3),3,4)))</f>
        <v>1</v>
      </c>
      <c r="Y79" s="14">
        <f>IF(Data!Y79&lt;=QUARTILE(Data!Y$4:Y$195,1),1,IF(Data!Y79&lt;=MEDIAN(Data!Y$4:Y$195),2,IF(Data!Y79&lt;=QUARTILE(Data!Y$4:Y$195,3),3,4)))</f>
        <v>2</v>
      </c>
      <c r="Z79" s="22">
        <f>IF(Data!Z79&lt;=QUARTILE(Data!Z$4:Z$195,1),1,IF(Data!Z79&lt;=MEDIAN(Data!Z$4:Z$195),2,IF(Data!Z79&lt;=QUARTILE(Data!Z$4:Z$195,3),3,4)))</f>
        <v>1</v>
      </c>
      <c r="AA79" s="14">
        <f>IF(Data!AA79&lt;=QUARTILE(Data!AA$4:AA$195,1),1,IF(Data!AA79&lt;=MEDIAN(Data!AA$4:AA$195),2,IF(Data!AA79&lt;=QUARTILE(Data!AA$4:AA$195,3),3,4)))</f>
        <v>4</v>
      </c>
      <c r="AB79" s="15">
        <f>IF(Data!AB79&lt;=QUARTILE(Data!AB$4:AB$195,1),1,IF(Data!AB79&lt;=MEDIAN(Data!AB$4:AB$195),2,IF(Data!AB79&lt;=QUARTILE(Data!AB$4:AB$195,3),3,4)))</f>
        <v>4</v>
      </c>
      <c r="AC79" s="14">
        <f>IF(Data!AC79&lt;=QUARTILE(Data!AC$4:AC$195,1),1,IF(Data!AC79&lt;=MEDIAN(Data!AC$4:AC$195),2,IF(Data!AC79&lt;=QUARTILE(Data!AC$4:AC$195,3),3,4)))</f>
        <v>2</v>
      </c>
      <c r="AD79" s="19">
        <f>IF(Data!AD79&lt;=QUARTILE(Data!AD$4:AD$195,1),1,IF(Data!AD79&lt;=MEDIAN(Data!AD$4:AD$195),2,IF(Data!AD79&lt;=QUARTILE(Data!AD$4:AD$195,3),3,4)))</f>
        <v>2</v>
      </c>
      <c r="AE79" s="14">
        <f>IF(Data!AE79&lt;=QUARTILE(Data!AE$4:AE$195,1),1,IF(Data!AE79&lt;=MEDIAN(Data!AE$4:AE$195),2,IF(Data!AE79&lt;=QUARTILE(Data!AE$4:AE$195,3),3,4)))</f>
        <v>3</v>
      </c>
      <c r="AF79" s="19">
        <f>IF(Data!AF79&lt;=QUARTILE(Data!AF$4:AF$195,1),1,IF(Data!AF79&lt;=MEDIAN(Data!AF$4:AF$195),2,IF(Data!AF79&lt;=QUARTILE(Data!AF$4:AF$195,3),3,4)))</f>
        <v>3</v>
      </c>
      <c r="AG79" s="19">
        <f>IF(Data!AG79&lt;=QUARTILE(Data!AG$4:AG$195,1),1,IF(Data!AG79&lt;=MEDIAN(Data!AG$4:AG$195),2,IF(Data!AG79&lt;=QUARTILE(Data!AG$4:AG$195,3),3,4)))</f>
        <v>4</v>
      </c>
      <c r="AH79" s="15">
        <f>IF(Data!AH79&lt;=QUARTILE(Data!AH$4:AH$195,1),1,IF(Data!AH79&lt;=MEDIAN(Data!AH$4:AH$195),2,IF(Data!AH79&lt;=QUARTILE(Data!AH$4:AH$195,3),3,4)))</f>
        <v>4</v>
      </c>
      <c r="AI79" s="14">
        <f>IF(Data!AI79&lt;=QUARTILE(Data!AI$4:AI$195,1),1,IF(Data!AI79&lt;=MEDIAN(Data!AI$4:AI$195),2,IF(Data!AI79&lt;=QUARTILE(Data!AI$4:AI$195,3),3,4)))</f>
        <v>1</v>
      </c>
      <c r="AJ79" s="15">
        <f>IF(Data!AJ79&lt;=QUARTILE(Data!AJ$4:AJ$195,1),1,IF(Data!AJ79&lt;=MEDIAN(Data!AJ$4:AJ$195),2,IF(Data!AJ79&lt;=QUARTILE(Data!AJ$4:AJ$195,3),3,4)))</f>
        <v>2</v>
      </c>
      <c r="AK79" s="14">
        <f>IF(Data!AK79&lt;=QUARTILE(Data!AK$4:AK$195,1),1,IF(Data!AK79&lt;=MEDIAN(Data!AK$4:AK$195),2,IF(Data!AK79&lt;=QUARTILE(Data!AK$4:AK$195,3),3,4)))</f>
        <v>1</v>
      </c>
      <c r="AL79" s="19">
        <f>IF(Data!AL79&lt;=QUARTILE(Data!AL$4:AL$195,1),1,IF(Data!AL79&lt;=MEDIAN(Data!AL$4:AL$195),2,IF(Data!AL79&lt;=QUARTILE(Data!AL$4:AL$195,3),3,4)))</f>
        <v>2</v>
      </c>
      <c r="AM79" s="19">
        <f>IF(Data!AM79&lt;=QUARTILE(Data!AM$4:AM$195,1),1,IF(Data!AM79&lt;=MEDIAN(Data!AM$4:AM$195),2,IF(Data!AM79&lt;=QUARTILE(Data!AM$4:AM$195,3),3,4)))</f>
        <v>2</v>
      </c>
      <c r="AN79" s="15">
        <f>IF(Data!AN79&lt;=QUARTILE(Data!AN$4:AN$195,1),1,IF(Data!AN79&lt;=MEDIAN(Data!AN$4:AN$195),2,IF(Data!AN79&lt;=QUARTILE(Data!AN$4:AN$195,3),3,4)))</f>
        <v>2</v>
      </c>
      <c r="AO79" s="14">
        <f>IF(Data!AO79&lt;=QUARTILE(Data!AO$4:AO$195,1),1,IF(Data!AO79&lt;=MEDIAN(Data!AO$4:AO$195),2,IF(Data!AO79&lt;=QUARTILE(Data!AO$4:AO$195,3),3,4)))</f>
        <v>2</v>
      </c>
      <c r="AP79" s="19">
        <f>IF(Data!AP79&lt;=QUARTILE(Data!AP$4:AP$195,1),1,IF(Data!AP79&lt;=MEDIAN(Data!AP$4:AP$195),2,IF(Data!AP79&lt;=QUARTILE(Data!AP$4:AP$195,3),3,4)))</f>
        <v>3</v>
      </c>
      <c r="AQ79" s="19">
        <f>IF(Data!AQ79&lt;=QUARTILE(Data!AQ$4:AQ$195,1),1,IF(Data!AQ79&lt;=MEDIAN(Data!AQ$4:AQ$195),2,IF(Data!AQ79&lt;=QUARTILE(Data!AQ$4:AQ$195,3),3,4)))</f>
        <v>2</v>
      </c>
      <c r="AR79" s="19">
        <f>IF(Data!AR79&lt;=QUARTILE(Data!AR$4:AR$195,1),1,IF(Data!AR79&lt;=MEDIAN(Data!AR$4:AR$195),2,IF(Data!AR79&lt;=QUARTILE(Data!AR$4:AR$195,3),3,4)))</f>
        <v>3</v>
      </c>
      <c r="AS79" s="19">
        <f>IF(Data!AS79&lt;=QUARTILE(Data!AS$4:AS$195,1),1,IF(Data!AS79&lt;=MEDIAN(Data!AS$4:AS$195),2,IF(Data!AS79&lt;=QUARTILE(Data!AS$4:AS$195,3),3,4)))</f>
        <v>3</v>
      </c>
      <c r="AT79" s="19">
        <f>IF(Data!AT79&lt;=QUARTILE(Data!AT$4:AT$195,1),1,IF(Data!AT79&lt;=MEDIAN(Data!AT$4:AT$195),2,IF(Data!AT79&lt;=QUARTILE(Data!AT$4:AT$195,3),3,4)))</f>
        <v>3</v>
      </c>
      <c r="AU79" s="19">
        <f>IF(Data!AU79&lt;=QUARTILE(Data!AU$4:AU$195,1),1,IF(Data!AU79&lt;=MEDIAN(Data!AU$4:AU$195),2,IF(Data!AU79&lt;=QUARTILE(Data!AU$4:AU$195,3),3,4)))</f>
        <v>2</v>
      </c>
      <c r="AV79" s="14">
        <f>IF(Data!AV79&lt;=QUARTILE(Data!AV$4:AV$195,1),1,IF(Data!AV79&lt;=MEDIAN(Data!AV$4:AV$195),2,IF(Data!AV79&lt;=QUARTILE(Data!AV$4:AV$195,3),3,4)))</f>
        <v>2</v>
      </c>
      <c r="AW79" s="19">
        <f>IF(Data!AW79&lt;=QUARTILE(Data!AW$4:AW$195,1),1,IF(Data!AW79&lt;=MEDIAN(Data!AW$4:AW$195),2,IF(Data!AW79&lt;=QUARTILE(Data!AW$4:AW$195,3),3,4)))</f>
        <v>2</v>
      </c>
      <c r="AX79" s="19">
        <f>IF(Data!AX79&lt;=QUARTILE(Data!AX$4:AX$195,1),1,IF(Data!AX79&lt;=MEDIAN(Data!AX$4:AX$195),2,IF(Data!AX79&lt;=QUARTILE(Data!AX$4:AX$195,3),3,4)))</f>
        <v>1</v>
      </c>
      <c r="AY79" s="15">
        <f>IF(Data!AY79&lt;=QUARTILE(Data!AY$4:AY$195,1),1,IF(Data!AY79&lt;=MEDIAN(Data!AY$4:AY$195),2,IF(Data!AY79&lt;=QUARTILE(Data!AY$4:AY$195,3),3,4)))</f>
        <v>1</v>
      </c>
      <c r="AZ79" s="14">
        <f>IF(Data!AZ79&lt;=QUARTILE(Data!AZ$4:AZ$195,1),1,IF(Data!AZ79&lt;=MEDIAN(Data!AZ$4:AZ$195),2,IF(Data!AZ79&lt;=QUARTILE(Data!AZ$4:AZ$195,3),3,4)))</f>
        <v>3</v>
      </c>
      <c r="BA79" s="15">
        <f>IF(Data!BA79&lt;=QUARTILE(Data!BA$4:BA$195,1),1,IF(Data!BA79&lt;=MEDIAN(Data!BA$4:BA$195),2,IF(Data!BA79&lt;=QUARTILE(Data!BA$4:BA$195,3),3,4)))</f>
        <v>1</v>
      </c>
    </row>
    <row r="80" spans="1:53" x14ac:dyDescent="0.25">
      <c r="A80" s="4" t="s">
        <v>12</v>
      </c>
      <c r="B80" s="40">
        <v>2007</v>
      </c>
      <c r="C80" s="14">
        <v>8</v>
      </c>
      <c r="D80" s="19">
        <v>8</v>
      </c>
      <c r="E80" s="74" t="s">
        <v>96</v>
      </c>
      <c r="F80" s="19">
        <v>0</v>
      </c>
      <c r="G80" s="19">
        <v>2.5</v>
      </c>
      <c r="H80" s="15">
        <v>-2.5</v>
      </c>
      <c r="I80" s="14">
        <f>IF(Data!I80&lt;=QUARTILE(Data!I$4:I$195,1),1,IF(Data!I80&lt;=MEDIAN(Data!I$4:I$195),2,IF(Data!I80&lt;=QUARTILE(Data!I$4:I$195,3),3,4)))</f>
        <v>3</v>
      </c>
      <c r="J80" s="19">
        <f>IF(Data!J80&lt;=QUARTILE(Data!J$4:J$195,1),1,IF(Data!J80&lt;=MEDIAN(Data!J$4:J$195),2,IF(Data!J80&lt;=QUARTILE(Data!J$4:J$195,3),3,4)))</f>
        <v>3</v>
      </c>
      <c r="K80" s="19">
        <f>IF(Data!K80&lt;=QUARTILE(Data!K$4:K$195,1),1,IF(Data!K80&lt;=MEDIAN(Data!K$4:K$195),2,IF(Data!K80&lt;=QUARTILE(Data!K$4:K$195,3),3,4)))</f>
        <v>1</v>
      </c>
      <c r="L80" s="15">
        <f>IF(Data!L80&lt;=QUARTILE(Data!L$4:L$195,1),1,IF(Data!L80&lt;=MEDIAN(Data!L$4:L$195),2,IF(Data!L80&lt;=QUARTILE(Data!L$4:L$195,3),3,4)))</f>
        <v>2</v>
      </c>
      <c r="M80" s="14">
        <f>IF(Data!M80&lt;=QUARTILE(Data!M$4:M$195,1),1,IF(Data!M80&lt;=MEDIAN(Data!M$4:M$195),2,IF(Data!M80&lt;=QUARTILE(Data!M$4:M$195,3),3,4)))</f>
        <v>4</v>
      </c>
      <c r="N80" s="19">
        <f>IF(Data!N80&lt;=QUARTILE(Data!N$4:N$195,1),1,IF(Data!N80&lt;=MEDIAN(Data!N$4:N$195),2,IF(Data!N80&lt;=QUARTILE(Data!N$4:N$195,3),3,4)))</f>
        <v>3</v>
      </c>
      <c r="O80" s="19">
        <f>IF(Data!O80&lt;=QUARTILE(Data!O$4:O$195,1),1,IF(Data!O80&lt;=MEDIAN(Data!O$4:O$195),2,IF(Data!O80&lt;=QUARTILE(Data!O$4:O$195,3),3,4)))</f>
        <v>3</v>
      </c>
      <c r="P80" s="19">
        <f>IF(Data!P80&lt;=QUARTILE(Data!P$4:P$195,1),1,IF(Data!P80&lt;=MEDIAN(Data!P$4:P$195),2,IF(Data!P80&lt;=QUARTILE(Data!P$4:P$195,3),3,4)))</f>
        <v>3</v>
      </c>
      <c r="Q80" s="19">
        <f>IF(Data!Q80&lt;=QUARTILE(Data!Q$4:Q$195,1),1,IF(Data!Q80&lt;=MEDIAN(Data!Q$4:Q$195),2,IF(Data!Q80&lt;=QUARTILE(Data!Q$4:Q$195,3),3,4)))</f>
        <v>3</v>
      </c>
      <c r="R80" s="19">
        <f>IF(Data!R80&lt;=QUARTILE(Data!R$4:R$195,1),1,IF(Data!R80&lt;=MEDIAN(Data!R$4:R$195),2,IF(Data!R80&lt;=QUARTILE(Data!R$4:R$195,3),3,4)))</f>
        <v>3</v>
      </c>
      <c r="S80" s="19">
        <f>IF(Data!S80&lt;=QUARTILE(Data!S$4:S$195,1),1,IF(Data!S80&lt;=MEDIAN(Data!S$4:S$195),2,IF(Data!S80&lt;=QUARTILE(Data!S$4:S$195,3),3,4)))</f>
        <v>1</v>
      </c>
      <c r="T80" s="19">
        <f>IF(Data!T80&lt;=QUARTILE(Data!T$4:T$195,1),1,IF(Data!T80&lt;=MEDIAN(Data!T$4:T$195),2,IF(Data!T80&lt;=QUARTILE(Data!T$4:T$195,3),3,4)))</f>
        <v>2</v>
      </c>
      <c r="U80" s="14">
        <f>IF(Data!U80&lt;=QUARTILE(Data!U$4:U$195,1),1,IF(Data!U80&lt;=MEDIAN(Data!U$4:U$195),2,IF(Data!U80&lt;=QUARTILE(Data!U$4:U$195,3),3,4)))</f>
        <v>2</v>
      </c>
      <c r="V80" s="19">
        <f>IF(Data!V80&lt;=QUARTILE(Data!V$4:V$195,1),1,IF(Data!V80&lt;=MEDIAN(Data!V$4:V$195),2,IF(Data!V80&lt;=QUARTILE(Data!V$4:V$195,3),3,4)))</f>
        <v>1</v>
      </c>
      <c r="W80" s="19">
        <f>IF(Data!W80&lt;=QUARTILE(Data!W$4:W$195,1),1,IF(Data!W80&lt;=MEDIAN(Data!W$4:W$195),2,IF(Data!W80&lt;=QUARTILE(Data!W$4:W$195,3),3,4)))</f>
        <v>2</v>
      </c>
      <c r="X80" s="15">
        <f>IF(Data!X80&lt;=QUARTILE(Data!X$4:X$195,1),1,IF(Data!X80&lt;=MEDIAN(Data!X$4:X$195),2,IF(Data!X80&lt;=QUARTILE(Data!X$4:X$195,3),3,4)))</f>
        <v>2</v>
      </c>
      <c r="Y80" s="14">
        <f>IF(Data!Y80&lt;=QUARTILE(Data!Y$4:Y$195,1),1,IF(Data!Y80&lt;=MEDIAN(Data!Y$4:Y$195),2,IF(Data!Y80&lt;=QUARTILE(Data!Y$4:Y$195,3),3,4)))</f>
        <v>4</v>
      </c>
      <c r="Z80" s="22">
        <f>IF(Data!Z80&lt;=QUARTILE(Data!Z$4:Z$195,1),1,IF(Data!Z80&lt;=MEDIAN(Data!Z$4:Z$195),2,IF(Data!Z80&lt;=QUARTILE(Data!Z$4:Z$195,3),3,4)))</f>
        <v>4</v>
      </c>
      <c r="AA80" s="14">
        <f>IF(Data!AA80&lt;=QUARTILE(Data!AA$4:AA$195,1),1,IF(Data!AA80&lt;=MEDIAN(Data!AA$4:AA$195),2,IF(Data!AA80&lt;=QUARTILE(Data!AA$4:AA$195,3),3,4)))</f>
        <v>2</v>
      </c>
      <c r="AB80" s="15">
        <f>IF(Data!AB80&lt;=QUARTILE(Data!AB$4:AB$195,1),1,IF(Data!AB80&lt;=MEDIAN(Data!AB$4:AB$195),2,IF(Data!AB80&lt;=QUARTILE(Data!AB$4:AB$195,3),3,4)))</f>
        <v>2</v>
      </c>
      <c r="AC80" s="14">
        <f>IF(Data!AC80&lt;=QUARTILE(Data!AC$4:AC$195,1),1,IF(Data!AC80&lt;=MEDIAN(Data!AC$4:AC$195),2,IF(Data!AC80&lt;=QUARTILE(Data!AC$4:AC$195,3),3,4)))</f>
        <v>4</v>
      </c>
      <c r="AD80" s="19">
        <f>IF(Data!AD80&lt;=QUARTILE(Data!AD$4:AD$195,1),1,IF(Data!AD80&lt;=MEDIAN(Data!AD$4:AD$195),2,IF(Data!AD80&lt;=QUARTILE(Data!AD$4:AD$195,3),3,4)))</f>
        <v>4</v>
      </c>
      <c r="AE80" s="14">
        <f>IF(Data!AE80&lt;=QUARTILE(Data!AE$4:AE$195,1),1,IF(Data!AE80&lt;=MEDIAN(Data!AE$4:AE$195),2,IF(Data!AE80&lt;=QUARTILE(Data!AE$4:AE$195,3),3,4)))</f>
        <v>1</v>
      </c>
      <c r="AF80" s="19">
        <f>IF(Data!AF80&lt;=QUARTILE(Data!AF$4:AF$195,1),1,IF(Data!AF80&lt;=MEDIAN(Data!AF$4:AF$195),2,IF(Data!AF80&lt;=QUARTILE(Data!AF$4:AF$195,3),3,4)))</f>
        <v>1</v>
      </c>
      <c r="AG80" s="19">
        <f>IF(Data!AG80&lt;=QUARTILE(Data!AG$4:AG$195,1),1,IF(Data!AG80&lt;=MEDIAN(Data!AG$4:AG$195),2,IF(Data!AG80&lt;=QUARTILE(Data!AG$4:AG$195,3),3,4)))</f>
        <v>4</v>
      </c>
      <c r="AH80" s="15">
        <f>IF(Data!AH80&lt;=QUARTILE(Data!AH$4:AH$195,1),1,IF(Data!AH80&lt;=MEDIAN(Data!AH$4:AH$195),2,IF(Data!AH80&lt;=QUARTILE(Data!AH$4:AH$195,3),3,4)))</f>
        <v>4</v>
      </c>
      <c r="AI80" s="14">
        <f>IF(Data!AI80&lt;=QUARTILE(Data!AI$4:AI$195,1),1,IF(Data!AI80&lt;=MEDIAN(Data!AI$4:AI$195),2,IF(Data!AI80&lt;=QUARTILE(Data!AI$4:AI$195,3),3,4)))</f>
        <v>1</v>
      </c>
      <c r="AJ80" s="15">
        <f>IF(Data!AJ80&lt;=QUARTILE(Data!AJ$4:AJ$195,1),1,IF(Data!AJ80&lt;=MEDIAN(Data!AJ$4:AJ$195),2,IF(Data!AJ80&lt;=QUARTILE(Data!AJ$4:AJ$195,3),3,4)))</f>
        <v>1</v>
      </c>
      <c r="AK80" s="14">
        <f>IF(Data!AK80&lt;=QUARTILE(Data!AK$4:AK$195,1),1,IF(Data!AK80&lt;=MEDIAN(Data!AK$4:AK$195),2,IF(Data!AK80&lt;=QUARTILE(Data!AK$4:AK$195,3),3,4)))</f>
        <v>4</v>
      </c>
      <c r="AL80" s="19">
        <f>IF(Data!AL80&lt;=QUARTILE(Data!AL$4:AL$195,1),1,IF(Data!AL80&lt;=MEDIAN(Data!AL$4:AL$195),2,IF(Data!AL80&lt;=QUARTILE(Data!AL$4:AL$195,3),3,4)))</f>
        <v>3</v>
      </c>
      <c r="AM80" s="19">
        <f>IF(Data!AM80&lt;=QUARTILE(Data!AM$4:AM$195,1),1,IF(Data!AM80&lt;=MEDIAN(Data!AM$4:AM$195),2,IF(Data!AM80&lt;=QUARTILE(Data!AM$4:AM$195,3),3,4)))</f>
        <v>2</v>
      </c>
      <c r="AN80" s="15">
        <f>IF(Data!AN80&lt;=QUARTILE(Data!AN$4:AN$195,1),1,IF(Data!AN80&lt;=MEDIAN(Data!AN$4:AN$195),2,IF(Data!AN80&lt;=QUARTILE(Data!AN$4:AN$195,3),3,4)))</f>
        <v>4</v>
      </c>
      <c r="AO80" s="14">
        <f>IF(Data!AO80&lt;=QUARTILE(Data!AO$4:AO$195,1),1,IF(Data!AO80&lt;=MEDIAN(Data!AO$4:AO$195),2,IF(Data!AO80&lt;=QUARTILE(Data!AO$4:AO$195,3),3,4)))</f>
        <v>4</v>
      </c>
      <c r="AP80" s="19">
        <f>IF(Data!AP80&lt;=QUARTILE(Data!AP$4:AP$195,1),1,IF(Data!AP80&lt;=MEDIAN(Data!AP$4:AP$195),2,IF(Data!AP80&lt;=QUARTILE(Data!AP$4:AP$195,3),3,4)))</f>
        <v>4</v>
      </c>
      <c r="AQ80" s="19">
        <f>IF(Data!AQ80&lt;=QUARTILE(Data!AQ$4:AQ$195,1),1,IF(Data!AQ80&lt;=MEDIAN(Data!AQ$4:AQ$195),2,IF(Data!AQ80&lt;=QUARTILE(Data!AQ$4:AQ$195,3),3,4)))</f>
        <v>4</v>
      </c>
      <c r="AR80" s="19">
        <f>IF(Data!AR80&lt;=QUARTILE(Data!AR$4:AR$195,1),1,IF(Data!AR80&lt;=MEDIAN(Data!AR$4:AR$195),2,IF(Data!AR80&lt;=QUARTILE(Data!AR$4:AR$195,3),3,4)))</f>
        <v>3</v>
      </c>
      <c r="AS80" s="19">
        <f>IF(Data!AS80&lt;=QUARTILE(Data!AS$4:AS$195,1),1,IF(Data!AS80&lt;=MEDIAN(Data!AS$4:AS$195),2,IF(Data!AS80&lt;=QUARTILE(Data!AS$4:AS$195,3),3,4)))</f>
        <v>4</v>
      </c>
      <c r="AT80" s="19">
        <f>IF(Data!AT80&lt;=QUARTILE(Data!AT$4:AT$195,1),1,IF(Data!AT80&lt;=MEDIAN(Data!AT$4:AT$195),2,IF(Data!AT80&lt;=QUARTILE(Data!AT$4:AT$195,3),3,4)))</f>
        <v>2</v>
      </c>
      <c r="AU80" s="19">
        <f>IF(Data!AU80&lt;=QUARTILE(Data!AU$4:AU$195,1),1,IF(Data!AU80&lt;=MEDIAN(Data!AU$4:AU$195),2,IF(Data!AU80&lt;=QUARTILE(Data!AU$4:AU$195,3),3,4)))</f>
        <v>2</v>
      </c>
      <c r="AV80" s="14">
        <f>IF(Data!AV80&lt;=QUARTILE(Data!AV$4:AV$195,1),1,IF(Data!AV80&lt;=MEDIAN(Data!AV$4:AV$195),2,IF(Data!AV80&lt;=QUARTILE(Data!AV$4:AV$195,3),3,4)))</f>
        <v>2</v>
      </c>
      <c r="AW80" s="19">
        <f>IF(Data!AW80&lt;=QUARTILE(Data!AW$4:AW$195,1),1,IF(Data!AW80&lt;=MEDIAN(Data!AW$4:AW$195),2,IF(Data!AW80&lt;=QUARTILE(Data!AW$4:AW$195,3),3,4)))</f>
        <v>2</v>
      </c>
      <c r="AX80" s="19">
        <f>IF(Data!AX80&lt;=QUARTILE(Data!AX$4:AX$195,1),1,IF(Data!AX80&lt;=MEDIAN(Data!AX$4:AX$195),2,IF(Data!AX80&lt;=QUARTILE(Data!AX$4:AX$195,3),3,4)))</f>
        <v>3</v>
      </c>
      <c r="AY80" s="15">
        <f>IF(Data!AY80&lt;=QUARTILE(Data!AY$4:AY$195,1),1,IF(Data!AY80&lt;=MEDIAN(Data!AY$4:AY$195),2,IF(Data!AY80&lt;=QUARTILE(Data!AY$4:AY$195,3),3,4)))</f>
        <v>3</v>
      </c>
      <c r="AZ80" s="14">
        <f>IF(Data!AZ80&lt;=QUARTILE(Data!AZ$4:AZ$195,1),1,IF(Data!AZ80&lt;=MEDIAN(Data!AZ$4:AZ$195),2,IF(Data!AZ80&lt;=QUARTILE(Data!AZ$4:AZ$195,3),3,4)))</f>
        <v>1</v>
      </c>
      <c r="BA80" s="15">
        <f>IF(Data!BA80&lt;=QUARTILE(Data!BA$4:BA$195,1),1,IF(Data!BA80&lt;=MEDIAN(Data!BA$4:BA$195),2,IF(Data!BA80&lt;=QUARTILE(Data!BA$4:BA$195,3),3,4)))</f>
        <v>3</v>
      </c>
    </row>
    <row r="81" spans="1:53" x14ac:dyDescent="0.25">
      <c r="A81" s="4" t="s">
        <v>11</v>
      </c>
      <c r="B81" s="40">
        <v>2007</v>
      </c>
      <c r="C81" s="14">
        <v>13</v>
      </c>
      <c r="D81" s="19">
        <v>3</v>
      </c>
      <c r="E81" s="74" t="s">
        <v>97</v>
      </c>
      <c r="F81" s="19">
        <v>12</v>
      </c>
      <c r="G81" s="19">
        <v>6.6</v>
      </c>
      <c r="H81" s="15">
        <v>5.4</v>
      </c>
      <c r="I81" s="14">
        <f>IF(Data!I81&lt;=QUARTILE(Data!I$4:I$195,1),1,IF(Data!I81&lt;=MEDIAN(Data!I$4:I$195),2,IF(Data!I81&lt;=QUARTILE(Data!I$4:I$195,3),3,4)))</f>
        <v>4</v>
      </c>
      <c r="J81" s="19">
        <f>IF(Data!J81&lt;=QUARTILE(Data!J$4:J$195,1),1,IF(Data!J81&lt;=MEDIAN(Data!J$4:J$195),2,IF(Data!J81&lt;=QUARTILE(Data!J$4:J$195,3),3,4)))</f>
        <v>4</v>
      </c>
      <c r="K81" s="19">
        <f>IF(Data!K81&lt;=QUARTILE(Data!K$4:K$195,1),1,IF(Data!K81&lt;=MEDIAN(Data!K$4:K$195),2,IF(Data!K81&lt;=QUARTILE(Data!K$4:K$195,3),3,4)))</f>
        <v>3</v>
      </c>
      <c r="L81" s="15">
        <f>IF(Data!L81&lt;=QUARTILE(Data!L$4:L$195,1),1,IF(Data!L81&lt;=MEDIAN(Data!L$4:L$195),2,IF(Data!L81&lt;=QUARTILE(Data!L$4:L$195,3),3,4)))</f>
        <v>4</v>
      </c>
      <c r="M81" s="14">
        <f>IF(Data!M81&lt;=QUARTILE(Data!M$4:M$195,1),1,IF(Data!M81&lt;=MEDIAN(Data!M$4:M$195),2,IF(Data!M81&lt;=QUARTILE(Data!M$4:M$195,3),3,4)))</f>
        <v>4</v>
      </c>
      <c r="N81" s="19">
        <f>IF(Data!N81&lt;=QUARTILE(Data!N$4:N$195,1),1,IF(Data!N81&lt;=MEDIAN(Data!N$4:N$195),2,IF(Data!N81&lt;=QUARTILE(Data!N$4:N$195,3),3,4)))</f>
        <v>3</v>
      </c>
      <c r="O81" s="19">
        <f>IF(Data!O81&lt;=QUARTILE(Data!O$4:O$195,1),1,IF(Data!O81&lt;=MEDIAN(Data!O$4:O$195),2,IF(Data!O81&lt;=QUARTILE(Data!O$4:O$195,3),3,4)))</f>
        <v>4</v>
      </c>
      <c r="P81" s="19">
        <f>IF(Data!P81&lt;=QUARTILE(Data!P$4:P$195,1),1,IF(Data!P81&lt;=MEDIAN(Data!P$4:P$195),2,IF(Data!P81&lt;=QUARTILE(Data!P$4:P$195,3),3,4)))</f>
        <v>4</v>
      </c>
      <c r="Q81" s="19">
        <f>IF(Data!Q81&lt;=QUARTILE(Data!Q$4:Q$195,1),1,IF(Data!Q81&lt;=MEDIAN(Data!Q$4:Q$195),2,IF(Data!Q81&lt;=QUARTILE(Data!Q$4:Q$195,3),3,4)))</f>
        <v>4</v>
      </c>
      <c r="R81" s="19">
        <f>IF(Data!R81&lt;=QUARTILE(Data!R$4:R$195,1),1,IF(Data!R81&lt;=MEDIAN(Data!R$4:R$195),2,IF(Data!R81&lt;=QUARTILE(Data!R$4:R$195,3),3,4)))</f>
        <v>4</v>
      </c>
      <c r="S81" s="19">
        <f>IF(Data!S81&lt;=QUARTILE(Data!S$4:S$195,1),1,IF(Data!S81&lt;=MEDIAN(Data!S$4:S$195),2,IF(Data!S81&lt;=QUARTILE(Data!S$4:S$195,3),3,4)))</f>
        <v>1</v>
      </c>
      <c r="T81" s="19">
        <f>IF(Data!T81&lt;=QUARTILE(Data!T$4:T$195,1),1,IF(Data!T81&lt;=MEDIAN(Data!T$4:T$195),2,IF(Data!T81&lt;=QUARTILE(Data!T$4:T$195,3),3,4)))</f>
        <v>1</v>
      </c>
      <c r="U81" s="14">
        <f>IF(Data!U81&lt;=QUARTILE(Data!U$4:U$195,1),1,IF(Data!U81&lt;=MEDIAN(Data!U$4:U$195),2,IF(Data!U81&lt;=QUARTILE(Data!U$4:U$195,3),3,4)))</f>
        <v>3</v>
      </c>
      <c r="V81" s="19">
        <f>IF(Data!V81&lt;=QUARTILE(Data!V$4:V$195,1),1,IF(Data!V81&lt;=MEDIAN(Data!V$4:V$195),2,IF(Data!V81&lt;=QUARTILE(Data!V$4:V$195,3),3,4)))</f>
        <v>2</v>
      </c>
      <c r="W81" s="19">
        <f>IF(Data!W81&lt;=QUARTILE(Data!W$4:W$195,1),1,IF(Data!W81&lt;=MEDIAN(Data!W$4:W$195),2,IF(Data!W81&lt;=QUARTILE(Data!W$4:W$195,3),3,4)))</f>
        <v>4</v>
      </c>
      <c r="X81" s="15">
        <f>IF(Data!X81&lt;=QUARTILE(Data!X$4:X$195,1),1,IF(Data!X81&lt;=MEDIAN(Data!X$4:X$195),2,IF(Data!X81&lt;=QUARTILE(Data!X$4:X$195,3),3,4)))</f>
        <v>4</v>
      </c>
      <c r="Y81" s="14">
        <f>IF(Data!Y81&lt;=QUARTILE(Data!Y$4:Y$195,1),1,IF(Data!Y81&lt;=MEDIAN(Data!Y$4:Y$195),2,IF(Data!Y81&lt;=QUARTILE(Data!Y$4:Y$195,3),3,4)))</f>
        <v>2</v>
      </c>
      <c r="Z81" s="22">
        <f>IF(Data!Z81&lt;=QUARTILE(Data!Z$4:Z$195,1),1,IF(Data!Z81&lt;=MEDIAN(Data!Z$4:Z$195),2,IF(Data!Z81&lt;=QUARTILE(Data!Z$4:Z$195,3),3,4)))</f>
        <v>1</v>
      </c>
      <c r="AA81" s="14">
        <f>IF(Data!AA81&lt;=QUARTILE(Data!AA$4:AA$195,1),1,IF(Data!AA81&lt;=MEDIAN(Data!AA$4:AA$195),2,IF(Data!AA81&lt;=QUARTILE(Data!AA$4:AA$195,3),3,4)))</f>
        <v>1</v>
      </c>
      <c r="AB81" s="15">
        <f>IF(Data!AB81&lt;=QUARTILE(Data!AB$4:AB$195,1),1,IF(Data!AB81&lt;=MEDIAN(Data!AB$4:AB$195),2,IF(Data!AB81&lt;=QUARTILE(Data!AB$4:AB$195,3),3,4)))</f>
        <v>2</v>
      </c>
      <c r="AC81" s="14">
        <f>IF(Data!AC81&lt;=QUARTILE(Data!AC$4:AC$195,1),1,IF(Data!AC81&lt;=MEDIAN(Data!AC$4:AC$195),2,IF(Data!AC81&lt;=QUARTILE(Data!AC$4:AC$195,3),3,4)))</f>
        <v>1</v>
      </c>
      <c r="AD81" s="19">
        <f>IF(Data!AD81&lt;=QUARTILE(Data!AD$4:AD$195,1),1,IF(Data!AD81&lt;=MEDIAN(Data!AD$4:AD$195),2,IF(Data!AD81&lt;=QUARTILE(Data!AD$4:AD$195,3),3,4)))</f>
        <v>1</v>
      </c>
      <c r="AE81" s="14">
        <f>IF(Data!AE81&lt;=QUARTILE(Data!AE$4:AE$195,1),1,IF(Data!AE81&lt;=MEDIAN(Data!AE$4:AE$195),2,IF(Data!AE81&lt;=QUARTILE(Data!AE$4:AE$195,3),3,4)))</f>
        <v>4</v>
      </c>
      <c r="AF81" s="19">
        <f>IF(Data!AF81&lt;=QUARTILE(Data!AF$4:AF$195,1),1,IF(Data!AF81&lt;=MEDIAN(Data!AF$4:AF$195),2,IF(Data!AF81&lt;=QUARTILE(Data!AF$4:AF$195,3),3,4)))</f>
        <v>4</v>
      </c>
      <c r="AG81" s="19">
        <f>IF(Data!AG81&lt;=QUARTILE(Data!AG$4:AG$195,1),1,IF(Data!AG81&lt;=MEDIAN(Data!AG$4:AG$195),2,IF(Data!AG81&lt;=QUARTILE(Data!AG$4:AG$195,3),3,4)))</f>
        <v>1</v>
      </c>
      <c r="AH81" s="15">
        <f>IF(Data!AH81&lt;=QUARTILE(Data!AH$4:AH$195,1),1,IF(Data!AH81&lt;=MEDIAN(Data!AH$4:AH$195),2,IF(Data!AH81&lt;=QUARTILE(Data!AH$4:AH$195,3),3,4)))</f>
        <v>1</v>
      </c>
      <c r="AI81" s="14">
        <f>IF(Data!AI81&lt;=QUARTILE(Data!AI$4:AI$195,1),1,IF(Data!AI81&lt;=MEDIAN(Data!AI$4:AI$195),2,IF(Data!AI81&lt;=QUARTILE(Data!AI$4:AI$195,3),3,4)))</f>
        <v>1</v>
      </c>
      <c r="AJ81" s="15">
        <f>IF(Data!AJ81&lt;=QUARTILE(Data!AJ$4:AJ$195,1),1,IF(Data!AJ81&lt;=MEDIAN(Data!AJ$4:AJ$195),2,IF(Data!AJ81&lt;=QUARTILE(Data!AJ$4:AJ$195,3),3,4)))</f>
        <v>1</v>
      </c>
      <c r="AK81" s="14">
        <f>IF(Data!AK81&lt;=QUARTILE(Data!AK$4:AK$195,1),1,IF(Data!AK81&lt;=MEDIAN(Data!AK$4:AK$195),2,IF(Data!AK81&lt;=QUARTILE(Data!AK$4:AK$195,3),3,4)))</f>
        <v>1</v>
      </c>
      <c r="AL81" s="19">
        <f>IF(Data!AL81&lt;=QUARTILE(Data!AL$4:AL$195,1),1,IF(Data!AL81&lt;=MEDIAN(Data!AL$4:AL$195),2,IF(Data!AL81&lt;=QUARTILE(Data!AL$4:AL$195,3),3,4)))</f>
        <v>1</v>
      </c>
      <c r="AM81" s="19">
        <f>IF(Data!AM81&lt;=QUARTILE(Data!AM$4:AM$195,1),1,IF(Data!AM81&lt;=MEDIAN(Data!AM$4:AM$195),2,IF(Data!AM81&lt;=QUARTILE(Data!AM$4:AM$195,3),3,4)))</f>
        <v>2</v>
      </c>
      <c r="AN81" s="15">
        <f>IF(Data!AN81&lt;=QUARTILE(Data!AN$4:AN$195,1),1,IF(Data!AN81&lt;=MEDIAN(Data!AN$4:AN$195),2,IF(Data!AN81&lt;=QUARTILE(Data!AN$4:AN$195,3),3,4)))</f>
        <v>2</v>
      </c>
      <c r="AO81" s="14">
        <f>IF(Data!AO81&lt;=QUARTILE(Data!AO$4:AO$195,1),1,IF(Data!AO81&lt;=MEDIAN(Data!AO$4:AO$195),2,IF(Data!AO81&lt;=QUARTILE(Data!AO$4:AO$195,3),3,4)))</f>
        <v>3</v>
      </c>
      <c r="AP81" s="19">
        <f>IF(Data!AP81&lt;=QUARTILE(Data!AP$4:AP$195,1),1,IF(Data!AP81&lt;=MEDIAN(Data!AP$4:AP$195),2,IF(Data!AP81&lt;=QUARTILE(Data!AP$4:AP$195,3),3,4)))</f>
        <v>2</v>
      </c>
      <c r="AQ81" s="19">
        <f>IF(Data!AQ81&lt;=QUARTILE(Data!AQ$4:AQ$195,1),1,IF(Data!AQ81&lt;=MEDIAN(Data!AQ$4:AQ$195),2,IF(Data!AQ81&lt;=QUARTILE(Data!AQ$4:AQ$195,3),3,4)))</f>
        <v>1</v>
      </c>
      <c r="AR81" s="19">
        <f>IF(Data!AR81&lt;=QUARTILE(Data!AR$4:AR$195,1),1,IF(Data!AR81&lt;=MEDIAN(Data!AR$4:AR$195),2,IF(Data!AR81&lt;=QUARTILE(Data!AR$4:AR$195,3),3,4)))</f>
        <v>1</v>
      </c>
      <c r="AS81" s="19">
        <f>IF(Data!AS81&lt;=QUARTILE(Data!AS$4:AS$195,1),1,IF(Data!AS81&lt;=MEDIAN(Data!AS$4:AS$195),2,IF(Data!AS81&lt;=QUARTILE(Data!AS$4:AS$195,3),3,4)))</f>
        <v>1</v>
      </c>
      <c r="AT81" s="19">
        <f>IF(Data!AT81&lt;=QUARTILE(Data!AT$4:AT$195,1),1,IF(Data!AT81&lt;=MEDIAN(Data!AT$4:AT$195),2,IF(Data!AT81&lt;=QUARTILE(Data!AT$4:AT$195,3),3,4)))</f>
        <v>1</v>
      </c>
      <c r="AU81" s="19">
        <f>IF(Data!AU81&lt;=QUARTILE(Data!AU$4:AU$195,1),1,IF(Data!AU81&lt;=MEDIAN(Data!AU$4:AU$195),2,IF(Data!AU81&lt;=QUARTILE(Data!AU$4:AU$195,3),3,4)))</f>
        <v>1</v>
      </c>
      <c r="AV81" s="14">
        <f>IF(Data!AV81&lt;=QUARTILE(Data!AV$4:AV$195,1),1,IF(Data!AV81&lt;=MEDIAN(Data!AV$4:AV$195),2,IF(Data!AV81&lt;=QUARTILE(Data!AV$4:AV$195,3),3,4)))</f>
        <v>3</v>
      </c>
      <c r="AW81" s="19">
        <f>IF(Data!AW81&lt;=QUARTILE(Data!AW$4:AW$195,1),1,IF(Data!AW81&lt;=MEDIAN(Data!AW$4:AW$195),2,IF(Data!AW81&lt;=QUARTILE(Data!AW$4:AW$195,3),3,4)))</f>
        <v>2</v>
      </c>
      <c r="AX81" s="19">
        <f>IF(Data!AX81&lt;=QUARTILE(Data!AX$4:AX$195,1),1,IF(Data!AX81&lt;=MEDIAN(Data!AX$4:AX$195),2,IF(Data!AX81&lt;=QUARTILE(Data!AX$4:AX$195,3),3,4)))</f>
        <v>1</v>
      </c>
      <c r="AY81" s="15">
        <f>IF(Data!AY81&lt;=QUARTILE(Data!AY$4:AY$195,1),1,IF(Data!AY81&lt;=MEDIAN(Data!AY$4:AY$195),2,IF(Data!AY81&lt;=QUARTILE(Data!AY$4:AY$195,3),3,4)))</f>
        <v>3</v>
      </c>
      <c r="AZ81" s="14">
        <f>IF(Data!AZ81&lt;=QUARTILE(Data!AZ$4:AZ$195,1),1,IF(Data!AZ81&lt;=MEDIAN(Data!AZ$4:AZ$195),2,IF(Data!AZ81&lt;=QUARTILE(Data!AZ$4:AZ$195,3),3,4)))</f>
        <v>4</v>
      </c>
      <c r="BA81" s="15">
        <f>IF(Data!BA81&lt;=QUARTILE(Data!BA$4:BA$195,1),1,IF(Data!BA81&lt;=MEDIAN(Data!BA$4:BA$195),2,IF(Data!BA81&lt;=QUARTILE(Data!BA$4:BA$195,3),3,4)))</f>
        <v>4</v>
      </c>
    </row>
    <row r="82" spans="1:53" x14ac:dyDescent="0.25">
      <c r="A82" s="4" t="s">
        <v>14</v>
      </c>
      <c r="B82" s="40">
        <v>2007</v>
      </c>
      <c r="C82" s="14">
        <v>11</v>
      </c>
      <c r="D82" s="19">
        <v>5</v>
      </c>
      <c r="E82" s="74" t="s">
        <v>97</v>
      </c>
      <c r="F82" s="19">
        <v>6.8</v>
      </c>
      <c r="G82" s="19">
        <v>4.8</v>
      </c>
      <c r="H82" s="15">
        <v>2</v>
      </c>
      <c r="I82" s="14">
        <f>IF(Data!I82&lt;=QUARTILE(Data!I$4:I$195,1),1,IF(Data!I82&lt;=MEDIAN(Data!I$4:I$195),2,IF(Data!I82&lt;=QUARTILE(Data!I$4:I$195,3),3,4)))</f>
        <v>4</v>
      </c>
      <c r="J82" s="19">
        <f>IF(Data!J82&lt;=QUARTILE(Data!J$4:J$195,1),1,IF(Data!J82&lt;=MEDIAN(Data!J$4:J$195),2,IF(Data!J82&lt;=QUARTILE(Data!J$4:J$195,3),3,4)))</f>
        <v>4</v>
      </c>
      <c r="K82" s="19">
        <f>IF(Data!K82&lt;=QUARTILE(Data!K$4:K$195,1),1,IF(Data!K82&lt;=MEDIAN(Data!K$4:K$195),2,IF(Data!K82&lt;=QUARTILE(Data!K$4:K$195,3),3,4)))</f>
        <v>3</v>
      </c>
      <c r="L82" s="15">
        <f>IF(Data!L82&lt;=QUARTILE(Data!L$4:L$195,1),1,IF(Data!L82&lt;=MEDIAN(Data!L$4:L$195),2,IF(Data!L82&lt;=QUARTILE(Data!L$4:L$195,3),3,4)))</f>
        <v>4</v>
      </c>
      <c r="M82" s="14">
        <f>IF(Data!M82&lt;=QUARTILE(Data!M$4:M$195,1),1,IF(Data!M82&lt;=MEDIAN(Data!M$4:M$195),2,IF(Data!M82&lt;=QUARTILE(Data!M$4:M$195,3),3,4)))</f>
        <v>2</v>
      </c>
      <c r="N82" s="19">
        <f>IF(Data!N82&lt;=QUARTILE(Data!N$4:N$195,1),1,IF(Data!N82&lt;=MEDIAN(Data!N$4:N$195),2,IF(Data!N82&lt;=QUARTILE(Data!N$4:N$195,3),3,4)))</f>
        <v>1</v>
      </c>
      <c r="O82" s="19">
        <f>IF(Data!O82&lt;=QUARTILE(Data!O$4:O$195,1),1,IF(Data!O82&lt;=MEDIAN(Data!O$4:O$195),2,IF(Data!O82&lt;=QUARTILE(Data!O$4:O$195,3),3,4)))</f>
        <v>3</v>
      </c>
      <c r="P82" s="19">
        <f>IF(Data!P82&lt;=QUARTILE(Data!P$4:P$195,1),1,IF(Data!P82&lt;=MEDIAN(Data!P$4:P$195),2,IF(Data!P82&lt;=QUARTILE(Data!P$4:P$195,3),3,4)))</f>
        <v>4</v>
      </c>
      <c r="Q82" s="19">
        <f>IF(Data!Q82&lt;=QUARTILE(Data!Q$4:Q$195,1),1,IF(Data!Q82&lt;=MEDIAN(Data!Q$4:Q$195),2,IF(Data!Q82&lt;=QUARTILE(Data!Q$4:Q$195,3),3,4)))</f>
        <v>3</v>
      </c>
      <c r="R82" s="19">
        <f>IF(Data!R82&lt;=QUARTILE(Data!R$4:R$195,1),1,IF(Data!R82&lt;=MEDIAN(Data!R$4:R$195),2,IF(Data!R82&lt;=QUARTILE(Data!R$4:R$195,3),3,4)))</f>
        <v>4</v>
      </c>
      <c r="S82" s="19">
        <f>IF(Data!S82&lt;=QUARTILE(Data!S$4:S$195,1),1,IF(Data!S82&lt;=MEDIAN(Data!S$4:S$195),2,IF(Data!S82&lt;=QUARTILE(Data!S$4:S$195,3),3,4)))</f>
        <v>2</v>
      </c>
      <c r="T82" s="19">
        <f>IF(Data!T82&lt;=QUARTILE(Data!T$4:T$195,1),1,IF(Data!T82&lt;=MEDIAN(Data!T$4:T$195),2,IF(Data!T82&lt;=QUARTILE(Data!T$4:T$195,3),3,4)))</f>
        <v>1</v>
      </c>
      <c r="U82" s="14">
        <f>IF(Data!U82&lt;=QUARTILE(Data!U$4:U$195,1),1,IF(Data!U82&lt;=MEDIAN(Data!U$4:U$195),2,IF(Data!U82&lt;=QUARTILE(Data!U$4:U$195,3),3,4)))</f>
        <v>4</v>
      </c>
      <c r="V82" s="19">
        <f>IF(Data!V82&lt;=QUARTILE(Data!V$4:V$195,1),1,IF(Data!V82&lt;=MEDIAN(Data!V$4:V$195),2,IF(Data!V82&lt;=QUARTILE(Data!V$4:V$195,3),3,4)))</f>
        <v>4</v>
      </c>
      <c r="W82" s="19">
        <f>IF(Data!W82&lt;=QUARTILE(Data!W$4:W$195,1),1,IF(Data!W82&lt;=MEDIAN(Data!W$4:W$195),2,IF(Data!W82&lt;=QUARTILE(Data!W$4:W$195,3),3,4)))</f>
        <v>4</v>
      </c>
      <c r="X82" s="15">
        <f>IF(Data!X82&lt;=QUARTILE(Data!X$4:X$195,1),1,IF(Data!X82&lt;=MEDIAN(Data!X$4:X$195),2,IF(Data!X82&lt;=QUARTILE(Data!X$4:X$195,3),3,4)))</f>
        <v>4</v>
      </c>
      <c r="Y82" s="14">
        <f>IF(Data!Y82&lt;=QUARTILE(Data!Y$4:Y$195,1),1,IF(Data!Y82&lt;=MEDIAN(Data!Y$4:Y$195),2,IF(Data!Y82&lt;=QUARTILE(Data!Y$4:Y$195,3),3,4)))</f>
        <v>1</v>
      </c>
      <c r="Z82" s="22">
        <f>IF(Data!Z82&lt;=QUARTILE(Data!Z$4:Z$195,1),1,IF(Data!Z82&lt;=MEDIAN(Data!Z$4:Z$195),2,IF(Data!Z82&lt;=QUARTILE(Data!Z$4:Z$195,3),3,4)))</f>
        <v>3</v>
      </c>
      <c r="AA82" s="14">
        <f>IF(Data!AA82&lt;=QUARTILE(Data!AA$4:AA$195,1),1,IF(Data!AA82&lt;=MEDIAN(Data!AA$4:AA$195),2,IF(Data!AA82&lt;=QUARTILE(Data!AA$4:AA$195,3),3,4)))</f>
        <v>2</v>
      </c>
      <c r="AB82" s="15">
        <f>IF(Data!AB82&lt;=QUARTILE(Data!AB$4:AB$195,1),1,IF(Data!AB82&lt;=MEDIAN(Data!AB$4:AB$195),2,IF(Data!AB82&lt;=QUARTILE(Data!AB$4:AB$195,3),3,4)))</f>
        <v>3</v>
      </c>
      <c r="AC82" s="14">
        <f>IF(Data!AC82&lt;=QUARTILE(Data!AC$4:AC$195,1),1,IF(Data!AC82&lt;=MEDIAN(Data!AC$4:AC$195),2,IF(Data!AC82&lt;=QUARTILE(Data!AC$4:AC$195,3),3,4)))</f>
        <v>1</v>
      </c>
      <c r="AD82" s="19">
        <f>IF(Data!AD82&lt;=QUARTILE(Data!AD$4:AD$195,1),1,IF(Data!AD82&lt;=MEDIAN(Data!AD$4:AD$195),2,IF(Data!AD82&lt;=QUARTILE(Data!AD$4:AD$195,3),3,4)))</f>
        <v>1</v>
      </c>
      <c r="AE82" s="14">
        <f>IF(Data!AE82&lt;=QUARTILE(Data!AE$4:AE$195,1),1,IF(Data!AE82&lt;=MEDIAN(Data!AE$4:AE$195),2,IF(Data!AE82&lt;=QUARTILE(Data!AE$4:AE$195,3),3,4)))</f>
        <v>2</v>
      </c>
      <c r="AF82" s="19">
        <f>IF(Data!AF82&lt;=QUARTILE(Data!AF$4:AF$195,1),1,IF(Data!AF82&lt;=MEDIAN(Data!AF$4:AF$195),2,IF(Data!AF82&lt;=QUARTILE(Data!AF$4:AF$195,3),3,4)))</f>
        <v>3</v>
      </c>
      <c r="AG82" s="19">
        <f>IF(Data!AG82&lt;=QUARTILE(Data!AG$4:AG$195,1),1,IF(Data!AG82&lt;=MEDIAN(Data!AG$4:AG$195),2,IF(Data!AG82&lt;=QUARTILE(Data!AG$4:AG$195,3),3,4)))</f>
        <v>1</v>
      </c>
      <c r="AH82" s="15">
        <f>IF(Data!AH82&lt;=QUARTILE(Data!AH$4:AH$195,1),1,IF(Data!AH82&lt;=MEDIAN(Data!AH$4:AH$195),2,IF(Data!AH82&lt;=QUARTILE(Data!AH$4:AH$195,3),3,4)))</f>
        <v>1</v>
      </c>
      <c r="AI82" s="14">
        <f>IF(Data!AI82&lt;=QUARTILE(Data!AI$4:AI$195,1),1,IF(Data!AI82&lt;=MEDIAN(Data!AI$4:AI$195),2,IF(Data!AI82&lt;=QUARTILE(Data!AI$4:AI$195,3),3,4)))</f>
        <v>1</v>
      </c>
      <c r="AJ82" s="15">
        <f>IF(Data!AJ82&lt;=QUARTILE(Data!AJ$4:AJ$195,1),1,IF(Data!AJ82&lt;=MEDIAN(Data!AJ$4:AJ$195),2,IF(Data!AJ82&lt;=QUARTILE(Data!AJ$4:AJ$195,3),3,4)))</f>
        <v>1</v>
      </c>
      <c r="AK82" s="14">
        <f>IF(Data!AK82&lt;=QUARTILE(Data!AK$4:AK$195,1),1,IF(Data!AK82&lt;=MEDIAN(Data!AK$4:AK$195),2,IF(Data!AK82&lt;=QUARTILE(Data!AK$4:AK$195,3),3,4)))</f>
        <v>2</v>
      </c>
      <c r="AL82" s="19">
        <f>IF(Data!AL82&lt;=QUARTILE(Data!AL$4:AL$195,1),1,IF(Data!AL82&lt;=MEDIAN(Data!AL$4:AL$195),2,IF(Data!AL82&lt;=QUARTILE(Data!AL$4:AL$195,3),3,4)))</f>
        <v>2</v>
      </c>
      <c r="AM82" s="19">
        <f>IF(Data!AM82&lt;=QUARTILE(Data!AM$4:AM$195,1),1,IF(Data!AM82&lt;=MEDIAN(Data!AM$4:AM$195),2,IF(Data!AM82&lt;=QUARTILE(Data!AM$4:AM$195,3),3,4)))</f>
        <v>1</v>
      </c>
      <c r="AN82" s="15">
        <f>IF(Data!AN82&lt;=QUARTILE(Data!AN$4:AN$195,1),1,IF(Data!AN82&lt;=MEDIAN(Data!AN$4:AN$195),2,IF(Data!AN82&lt;=QUARTILE(Data!AN$4:AN$195,3),3,4)))</f>
        <v>2</v>
      </c>
      <c r="AO82" s="14">
        <f>IF(Data!AO82&lt;=QUARTILE(Data!AO$4:AO$195,1),1,IF(Data!AO82&lt;=MEDIAN(Data!AO$4:AO$195),2,IF(Data!AO82&lt;=QUARTILE(Data!AO$4:AO$195,3),3,4)))</f>
        <v>3</v>
      </c>
      <c r="AP82" s="19">
        <f>IF(Data!AP82&lt;=QUARTILE(Data!AP$4:AP$195,1),1,IF(Data!AP82&lt;=MEDIAN(Data!AP$4:AP$195),2,IF(Data!AP82&lt;=QUARTILE(Data!AP$4:AP$195,3),3,4)))</f>
        <v>3</v>
      </c>
      <c r="AQ82" s="19">
        <f>IF(Data!AQ82&lt;=QUARTILE(Data!AQ$4:AQ$195,1),1,IF(Data!AQ82&lt;=MEDIAN(Data!AQ$4:AQ$195),2,IF(Data!AQ82&lt;=QUARTILE(Data!AQ$4:AQ$195,3),3,4)))</f>
        <v>3</v>
      </c>
      <c r="AR82" s="19">
        <f>IF(Data!AR82&lt;=QUARTILE(Data!AR$4:AR$195,1),1,IF(Data!AR82&lt;=MEDIAN(Data!AR$4:AR$195),2,IF(Data!AR82&lt;=QUARTILE(Data!AR$4:AR$195,3),3,4)))</f>
        <v>2</v>
      </c>
      <c r="AS82" s="19">
        <f>IF(Data!AS82&lt;=QUARTILE(Data!AS$4:AS$195,1),1,IF(Data!AS82&lt;=MEDIAN(Data!AS$4:AS$195),2,IF(Data!AS82&lt;=QUARTILE(Data!AS$4:AS$195,3),3,4)))</f>
        <v>3</v>
      </c>
      <c r="AT82" s="19">
        <f>IF(Data!AT82&lt;=QUARTILE(Data!AT$4:AT$195,1),1,IF(Data!AT82&lt;=MEDIAN(Data!AT$4:AT$195),2,IF(Data!AT82&lt;=QUARTILE(Data!AT$4:AT$195,3),3,4)))</f>
        <v>3</v>
      </c>
      <c r="AU82" s="19">
        <f>IF(Data!AU82&lt;=QUARTILE(Data!AU$4:AU$195,1),1,IF(Data!AU82&lt;=MEDIAN(Data!AU$4:AU$195),2,IF(Data!AU82&lt;=QUARTILE(Data!AU$4:AU$195,3),3,4)))</f>
        <v>3</v>
      </c>
      <c r="AV82" s="14">
        <f>IF(Data!AV82&lt;=QUARTILE(Data!AV$4:AV$195,1),1,IF(Data!AV82&lt;=MEDIAN(Data!AV$4:AV$195),2,IF(Data!AV82&lt;=QUARTILE(Data!AV$4:AV$195,3),3,4)))</f>
        <v>1</v>
      </c>
      <c r="AW82" s="19">
        <f>IF(Data!AW82&lt;=QUARTILE(Data!AW$4:AW$195,1),1,IF(Data!AW82&lt;=MEDIAN(Data!AW$4:AW$195),2,IF(Data!AW82&lt;=QUARTILE(Data!AW$4:AW$195,3),3,4)))</f>
        <v>2</v>
      </c>
      <c r="AX82" s="19">
        <f>IF(Data!AX82&lt;=QUARTILE(Data!AX$4:AX$195,1),1,IF(Data!AX82&lt;=MEDIAN(Data!AX$4:AX$195),2,IF(Data!AX82&lt;=QUARTILE(Data!AX$4:AX$195,3),3,4)))</f>
        <v>2</v>
      </c>
      <c r="AY82" s="15">
        <f>IF(Data!AY82&lt;=QUARTILE(Data!AY$4:AY$195,1),1,IF(Data!AY82&lt;=MEDIAN(Data!AY$4:AY$195),2,IF(Data!AY82&lt;=QUARTILE(Data!AY$4:AY$195,3),3,4)))</f>
        <v>2</v>
      </c>
      <c r="AZ82" s="14">
        <f>IF(Data!AZ82&lt;=QUARTILE(Data!AZ$4:AZ$195,1),1,IF(Data!AZ82&lt;=MEDIAN(Data!AZ$4:AZ$195),2,IF(Data!AZ82&lt;=QUARTILE(Data!AZ$4:AZ$195,3),3,4)))</f>
        <v>4</v>
      </c>
      <c r="BA82" s="15">
        <f>IF(Data!BA82&lt;=QUARTILE(Data!BA$4:BA$195,1),1,IF(Data!BA82&lt;=MEDIAN(Data!BA$4:BA$195),2,IF(Data!BA82&lt;=QUARTILE(Data!BA$4:BA$195,3),3,4)))</f>
        <v>2</v>
      </c>
    </row>
    <row r="83" spans="1:53" x14ac:dyDescent="0.25">
      <c r="A83" s="4" t="s">
        <v>18</v>
      </c>
      <c r="B83" s="40">
        <v>2007</v>
      </c>
      <c r="C83" s="14">
        <v>4</v>
      </c>
      <c r="D83" s="19">
        <v>12</v>
      </c>
      <c r="E83" s="74" t="s">
        <v>96</v>
      </c>
      <c r="F83" s="19">
        <v>-5.5</v>
      </c>
      <c r="G83" s="19">
        <v>-7.4</v>
      </c>
      <c r="H83" s="15">
        <v>1.9</v>
      </c>
      <c r="I83" s="14">
        <f>IF(Data!I83&lt;=QUARTILE(Data!I$4:I$195,1),1,IF(Data!I83&lt;=MEDIAN(Data!I$4:I$195),2,IF(Data!I83&lt;=QUARTILE(Data!I$4:I$195,3),3,4)))</f>
        <v>1</v>
      </c>
      <c r="J83" s="19">
        <f>IF(Data!J83&lt;=QUARTILE(Data!J$4:J$195,1),1,IF(Data!J83&lt;=MEDIAN(Data!J$4:J$195),2,IF(Data!J83&lt;=QUARTILE(Data!J$4:J$195,3),3,4)))</f>
        <v>1</v>
      </c>
      <c r="K83" s="19">
        <f>IF(Data!K83&lt;=QUARTILE(Data!K$4:K$195,1),1,IF(Data!K83&lt;=MEDIAN(Data!K$4:K$195),2,IF(Data!K83&lt;=QUARTILE(Data!K$4:K$195,3),3,4)))</f>
        <v>2</v>
      </c>
      <c r="L83" s="15">
        <f>IF(Data!L83&lt;=QUARTILE(Data!L$4:L$195,1),1,IF(Data!L83&lt;=MEDIAN(Data!L$4:L$195),2,IF(Data!L83&lt;=QUARTILE(Data!L$4:L$195,3),3,4)))</f>
        <v>1</v>
      </c>
      <c r="M83" s="14">
        <f>IF(Data!M83&lt;=QUARTILE(Data!M$4:M$195,1),1,IF(Data!M83&lt;=MEDIAN(Data!M$4:M$195),2,IF(Data!M83&lt;=QUARTILE(Data!M$4:M$195,3),3,4)))</f>
        <v>3</v>
      </c>
      <c r="N83" s="19">
        <f>IF(Data!N83&lt;=QUARTILE(Data!N$4:N$195,1),1,IF(Data!N83&lt;=MEDIAN(Data!N$4:N$195),2,IF(Data!N83&lt;=QUARTILE(Data!N$4:N$195,3),3,4)))</f>
        <v>4</v>
      </c>
      <c r="O83" s="19">
        <f>IF(Data!O83&lt;=QUARTILE(Data!O$4:O$195,1),1,IF(Data!O83&lt;=MEDIAN(Data!O$4:O$195),2,IF(Data!O83&lt;=QUARTILE(Data!O$4:O$195,3),3,4)))</f>
        <v>2</v>
      </c>
      <c r="P83" s="19">
        <f>IF(Data!P83&lt;=QUARTILE(Data!P$4:P$195,1),1,IF(Data!P83&lt;=MEDIAN(Data!P$4:P$195),2,IF(Data!P83&lt;=QUARTILE(Data!P$4:P$195,3),3,4)))</f>
        <v>2</v>
      </c>
      <c r="Q83" s="19">
        <f>IF(Data!Q83&lt;=QUARTILE(Data!Q$4:Q$195,1),1,IF(Data!Q83&lt;=MEDIAN(Data!Q$4:Q$195),2,IF(Data!Q83&lt;=QUARTILE(Data!Q$4:Q$195,3),3,4)))</f>
        <v>2</v>
      </c>
      <c r="R83" s="19">
        <f>IF(Data!R83&lt;=QUARTILE(Data!R$4:R$195,1),1,IF(Data!R83&lt;=MEDIAN(Data!R$4:R$195),2,IF(Data!R83&lt;=QUARTILE(Data!R$4:R$195,3),3,4)))</f>
        <v>1</v>
      </c>
      <c r="S83" s="19">
        <f>IF(Data!S83&lt;=QUARTILE(Data!S$4:S$195,1),1,IF(Data!S83&lt;=MEDIAN(Data!S$4:S$195),2,IF(Data!S83&lt;=QUARTILE(Data!S$4:S$195,3),3,4)))</f>
        <v>4</v>
      </c>
      <c r="T83" s="19">
        <f>IF(Data!T83&lt;=QUARTILE(Data!T$4:T$195,1),1,IF(Data!T83&lt;=MEDIAN(Data!T$4:T$195),2,IF(Data!T83&lt;=QUARTILE(Data!T$4:T$195,3),3,4)))</f>
        <v>4</v>
      </c>
      <c r="U83" s="14">
        <f>IF(Data!U83&lt;=QUARTILE(Data!U$4:U$195,1),1,IF(Data!U83&lt;=MEDIAN(Data!U$4:U$195),2,IF(Data!U83&lt;=QUARTILE(Data!U$4:U$195,3),3,4)))</f>
        <v>1</v>
      </c>
      <c r="V83" s="19">
        <f>IF(Data!V83&lt;=QUARTILE(Data!V$4:V$195,1),1,IF(Data!V83&lt;=MEDIAN(Data!V$4:V$195),2,IF(Data!V83&lt;=QUARTILE(Data!V$4:V$195,3),3,4)))</f>
        <v>1</v>
      </c>
      <c r="W83" s="19">
        <f>IF(Data!W83&lt;=QUARTILE(Data!W$4:W$195,1),1,IF(Data!W83&lt;=MEDIAN(Data!W$4:W$195),2,IF(Data!W83&lt;=QUARTILE(Data!W$4:W$195,3),3,4)))</f>
        <v>1</v>
      </c>
      <c r="X83" s="15">
        <f>IF(Data!X83&lt;=QUARTILE(Data!X$4:X$195,1),1,IF(Data!X83&lt;=MEDIAN(Data!X$4:X$195),2,IF(Data!X83&lt;=QUARTILE(Data!X$4:X$195,3),3,4)))</f>
        <v>1</v>
      </c>
      <c r="Y83" s="14">
        <f>IF(Data!Y83&lt;=QUARTILE(Data!Y$4:Y$195,1),1,IF(Data!Y83&lt;=MEDIAN(Data!Y$4:Y$195),2,IF(Data!Y83&lt;=QUARTILE(Data!Y$4:Y$195,3),3,4)))</f>
        <v>4</v>
      </c>
      <c r="Z83" s="22">
        <f>IF(Data!Z83&lt;=QUARTILE(Data!Z$4:Z$195,1),1,IF(Data!Z83&lt;=MEDIAN(Data!Z$4:Z$195),2,IF(Data!Z83&lt;=QUARTILE(Data!Z$4:Z$195,3),3,4)))</f>
        <v>3</v>
      </c>
      <c r="AA83" s="14">
        <f>IF(Data!AA83&lt;=QUARTILE(Data!AA$4:AA$195,1),1,IF(Data!AA83&lt;=MEDIAN(Data!AA$4:AA$195),2,IF(Data!AA83&lt;=QUARTILE(Data!AA$4:AA$195,3),3,4)))</f>
        <v>3</v>
      </c>
      <c r="AB83" s="15">
        <f>IF(Data!AB83&lt;=QUARTILE(Data!AB$4:AB$195,1),1,IF(Data!AB83&lt;=MEDIAN(Data!AB$4:AB$195),2,IF(Data!AB83&lt;=QUARTILE(Data!AB$4:AB$195,3),3,4)))</f>
        <v>2</v>
      </c>
      <c r="AC83" s="14">
        <f>IF(Data!AC83&lt;=QUARTILE(Data!AC$4:AC$195,1),1,IF(Data!AC83&lt;=MEDIAN(Data!AC$4:AC$195),2,IF(Data!AC83&lt;=QUARTILE(Data!AC$4:AC$195,3),3,4)))</f>
        <v>3</v>
      </c>
      <c r="AD83" s="19">
        <f>IF(Data!AD83&lt;=QUARTILE(Data!AD$4:AD$195,1),1,IF(Data!AD83&lt;=MEDIAN(Data!AD$4:AD$195),2,IF(Data!AD83&lt;=QUARTILE(Data!AD$4:AD$195,3),3,4)))</f>
        <v>1</v>
      </c>
      <c r="AE83" s="14">
        <f>IF(Data!AE83&lt;=QUARTILE(Data!AE$4:AE$195,1),1,IF(Data!AE83&lt;=MEDIAN(Data!AE$4:AE$195),2,IF(Data!AE83&lt;=QUARTILE(Data!AE$4:AE$195,3),3,4)))</f>
        <v>2</v>
      </c>
      <c r="AF83" s="19">
        <f>IF(Data!AF83&lt;=QUARTILE(Data!AF$4:AF$195,1),1,IF(Data!AF83&lt;=MEDIAN(Data!AF$4:AF$195),2,IF(Data!AF83&lt;=QUARTILE(Data!AF$4:AF$195,3),3,4)))</f>
        <v>1</v>
      </c>
      <c r="AG83" s="19">
        <f>IF(Data!AG83&lt;=QUARTILE(Data!AG$4:AG$195,1),1,IF(Data!AG83&lt;=MEDIAN(Data!AG$4:AG$195),2,IF(Data!AG83&lt;=QUARTILE(Data!AG$4:AG$195,3),3,4)))</f>
        <v>2</v>
      </c>
      <c r="AH83" s="15">
        <f>IF(Data!AH83&lt;=QUARTILE(Data!AH$4:AH$195,1),1,IF(Data!AH83&lt;=MEDIAN(Data!AH$4:AH$195),2,IF(Data!AH83&lt;=QUARTILE(Data!AH$4:AH$195,3),3,4)))</f>
        <v>1</v>
      </c>
      <c r="AI83" s="14">
        <f>IF(Data!AI83&lt;=QUARTILE(Data!AI$4:AI$195,1),1,IF(Data!AI83&lt;=MEDIAN(Data!AI$4:AI$195),2,IF(Data!AI83&lt;=QUARTILE(Data!AI$4:AI$195,3),3,4)))</f>
        <v>4</v>
      </c>
      <c r="AJ83" s="15">
        <f>IF(Data!AJ83&lt;=QUARTILE(Data!AJ$4:AJ$195,1),1,IF(Data!AJ83&lt;=MEDIAN(Data!AJ$4:AJ$195),2,IF(Data!AJ83&lt;=QUARTILE(Data!AJ$4:AJ$195,3),3,4)))</f>
        <v>4</v>
      </c>
      <c r="AK83" s="14">
        <f>IF(Data!AK83&lt;=QUARTILE(Data!AK$4:AK$195,1),1,IF(Data!AK83&lt;=MEDIAN(Data!AK$4:AK$195),2,IF(Data!AK83&lt;=QUARTILE(Data!AK$4:AK$195,3),3,4)))</f>
        <v>2</v>
      </c>
      <c r="AL83" s="19">
        <f>IF(Data!AL83&lt;=QUARTILE(Data!AL$4:AL$195,1),1,IF(Data!AL83&lt;=MEDIAN(Data!AL$4:AL$195),2,IF(Data!AL83&lt;=QUARTILE(Data!AL$4:AL$195,3),3,4)))</f>
        <v>2</v>
      </c>
      <c r="AM83" s="19">
        <f>IF(Data!AM83&lt;=QUARTILE(Data!AM$4:AM$195,1),1,IF(Data!AM83&lt;=MEDIAN(Data!AM$4:AM$195),2,IF(Data!AM83&lt;=QUARTILE(Data!AM$4:AM$195,3),3,4)))</f>
        <v>2</v>
      </c>
      <c r="AN83" s="15">
        <f>IF(Data!AN83&lt;=QUARTILE(Data!AN$4:AN$195,1),1,IF(Data!AN83&lt;=MEDIAN(Data!AN$4:AN$195),2,IF(Data!AN83&lt;=QUARTILE(Data!AN$4:AN$195,3),3,4)))</f>
        <v>1</v>
      </c>
      <c r="AO83" s="14">
        <f>IF(Data!AO83&lt;=QUARTILE(Data!AO$4:AO$195,1),1,IF(Data!AO83&lt;=MEDIAN(Data!AO$4:AO$195),2,IF(Data!AO83&lt;=QUARTILE(Data!AO$4:AO$195,3),3,4)))</f>
        <v>1</v>
      </c>
      <c r="AP83" s="19">
        <f>IF(Data!AP83&lt;=QUARTILE(Data!AP$4:AP$195,1),1,IF(Data!AP83&lt;=MEDIAN(Data!AP$4:AP$195),2,IF(Data!AP83&lt;=QUARTILE(Data!AP$4:AP$195,3),3,4)))</f>
        <v>1</v>
      </c>
      <c r="AQ83" s="19">
        <f>IF(Data!AQ83&lt;=QUARTILE(Data!AQ$4:AQ$195,1),1,IF(Data!AQ83&lt;=MEDIAN(Data!AQ$4:AQ$195),2,IF(Data!AQ83&lt;=QUARTILE(Data!AQ$4:AQ$195,3),3,4)))</f>
        <v>1</v>
      </c>
      <c r="AR83" s="19">
        <f>IF(Data!AR83&lt;=QUARTILE(Data!AR$4:AR$195,1),1,IF(Data!AR83&lt;=MEDIAN(Data!AR$4:AR$195),2,IF(Data!AR83&lt;=QUARTILE(Data!AR$4:AR$195,3),3,4)))</f>
        <v>1</v>
      </c>
      <c r="AS83" s="19">
        <f>IF(Data!AS83&lt;=QUARTILE(Data!AS$4:AS$195,1),1,IF(Data!AS83&lt;=MEDIAN(Data!AS$4:AS$195),2,IF(Data!AS83&lt;=QUARTILE(Data!AS$4:AS$195,3),3,4)))</f>
        <v>1</v>
      </c>
      <c r="AT83" s="19">
        <f>IF(Data!AT83&lt;=QUARTILE(Data!AT$4:AT$195,1),1,IF(Data!AT83&lt;=MEDIAN(Data!AT$4:AT$195),2,IF(Data!AT83&lt;=QUARTILE(Data!AT$4:AT$195,3),3,4)))</f>
        <v>3</v>
      </c>
      <c r="AU83" s="19">
        <f>IF(Data!AU83&lt;=QUARTILE(Data!AU$4:AU$195,1),1,IF(Data!AU83&lt;=MEDIAN(Data!AU$4:AU$195),2,IF(Data!AU83&lt;=QUARTILE(Data!AU$4:AU$195,3),3,4)))</f>
        <v>3</v>
      </c>
      <c r="AV83" s="14">
        <f>IF(Data!AV83&lt;=QUARTILE(Data!AV$4:AV$195,1),1,IF(Data!AV83&lt;=MEDIAN(Data!AV$4:AV$195),2,IF(Data!AV83&lt;=QUARTILE(Data!AV$4:AV$195,3),3,4)))</f>
        <v>4</v>
      </c>
      <c r="AW83" s="19">
        <f>IF(Data!AW83&lt;=QUARTILE(Data!AW$4:AW$195,1),1,IF(Data!AW83&lt;=MEDIAN(Data!AW$4:AW$195),2,IF(Data!AW83&lt;=QUARTILE(Data!AW$4:AW$195,3),3,4)))</f>
        <v>4</v>
      </c>
      <c r="AX83" s="19">
        <f>IF(Data!AX83&lt;=QUARTILE(Data!AX$4:AX$195,1),1,IF(Data!AX83&lt;=MEDIAN(Data!AX$4:AX$195),2,IF(Data!AX83&lt;=QUARTILE(Data!AX$4:AX$195,3),3,4)))</f>
        <v>2</v>
      </c>
      <c r="AY83" s="15">
        <f>IF(Data!AY83&lt;=QUARTILE(Data!AY$4:AY$195,1),1,IF(Data!AY83&lt;=MEDIAN(Data!AY$4:AY$195),2,IF(Data!AY83&lt;=QUARTILE(Data!AY$4:AY$195,3),3,4)))</f>
        <v>3</v>
      </c>
      <c r="AZ83" s="14">
        <f>IF(Data!AZ83&lt;=QUARTILE(Data!AZ$4:AZ$195,1),1,IF(Data!AZ83&lt;=MEDIAN(Data!AZ$4:AZ$195),2,IF(Data!AZ83&lt;=QUARTILE(Data!AZ$4:AZ$195,3),3,4)))</f>
        <v>2</v>
      </c>
      <c r="BA83" s="15">
        <f>IF(Data!BA83&lt;=QUARTILE(Data!BA$4:BA$195,1),1,IF(Data!BA83&lt;=MEDIAN(Data!BA$4:BA$195),2,IF(Data!BA83&lt;=QUARTILE(Data!BA$4:BA$195,3),3,4)))</f>
        <v>1</v>
      </c>
    </row>
    <row r="84" spans="1:53" x14ac:dyDescent="0.25">
      <c r="A84" s="4" t="s">
        <v>5</v>
      </c>
      <c r="B84" s="40">
        <v>2007</v>
      </c>
      <c r="C84" s="14">
        <v>1</v>
      </c>
      <c r="D84" s="19">
        <v>15</v>
      </c>
      <c r="E84" s="74" t="s">
        <v>96</v>
      </c>
      <c r="F84" s="19">
        <v>-8.4</v>
      </c>
      <c r="G84" s="19">
        <v>-4.0999999999999996</v>
      </c>
      <c r="H84" s="15">
        <v>-4.2</v>
      </c>
      <c r="I84" s="14">
        <f>IF(Data!I84&lt;=QUARTILE(Data!I$4:I$195,1),1,IF(Data!I84&lt;=MEDIAN(Data!I$4:I$195),2,IF(Data!I84&lt;=QUARTILE(Data!I$4:I$195,3),3,4)))</f>
        <v>1</v>
      </c>
      <c r="J84" s="19">
        <f>IF(Data!J84&lt;=QUARTILE(Data!J$4:J$195,1),1,IF(Data!J84&lt;=MEDIAN(Data!J$4:J$195),2,IF(Data!J84&lt;=QUARTILE(Data!J$4:J$195,3),3,4)))</f>
        <v>1</v>
      </c>
      <c r="K84" s="19">
        <f>IF(Data!K84&lt;=QUARTILE(Data!K$4:K$195,1),1,IF(Data!K84&lt;=MEDIAN(Data!K$4:K$195),2,IF(Data!K84&lt;=QUARTILE(Data!K$4:K$195,3),3,4)))</f>
        <v>2</v>
      </c>
      <c r="L84" s="15">
        <f>IF(Data!L84&lt;=QUARTILE(Data!L$4:L$195,1),1,IF(Data!L84&lt;=MEDIAN(Data!L$4:L$195),2,IF(Data!L84&lt;=QUARTILE(Data!L$4:L$195,3),3,4)))</f>
        <v>2</v>
      </c>
      <c r="M84" s="14">
        <f>IF(Data!M84&lt;=QUARTILE(Data!M$4:M$195,1),1,IF(Data!M84&lt;=MEDIAN(Data!M$4:M$195),2,IF(Data!M84&lt;=QUARTILE(Data!M$4:M$195,3),3,4)))</f>
        <v>3</v>
      </c>
      <c r="N84" s="19">
        <f>IF(Data!N84&lt;=QUARTILE(Data!N$4:N$195,1),1,IF(Data!N84&lt;=MEDIAN(Data!N$4:N$195),2,IF(Data!N84&lt;=QUARTILE(Data!N$4:N$195,3),3,4)))</f>
        <v>4</v>
      </c>
      <c r="O84" s="19">
        <f>IF(Data!O84&lt;=QUARTILE(Data!O$4:O$195,1),1,IF(Data!O84&lt;=MEDIAN(Data!O$4:O$195),2,IF(Data!O84&lt;=QUARTILE(Data!O$4:O$195,3),3,4)))</f>
        <v>2</v>
      </c>
      <c r="P84" s="19">
        <f>IF(Data!P84&lt;=QUARTILE(Data!P$4:P$195,1),1,IF(Data!P84&lt;=MEDIAN(Data!P$4:P$195),2,IF(Data!P84&lt;=QUARTILE(Data!P$4:P$195,3),3,4)))</f>
        <v>1</v>
      </c>
      <c r="Q84" s="19">
        <f>IF(Data!Q84&lt;=QUARTILE(Data!Q$4:Q$195,1),1,IF(Data!Q84&lt;=MEDIAN(Data!Q$4:Q$195),2,IF(Data!Q84&lt;=QUARTILE(Data!Q$4:Q$195,3),3,4)))</f>
        <v>2</v>
      </c>
      <c r="R84" s="19">
        <f>IF(Data!R84&lt;=QUARTILE(Data!R$4:R$195,1),1,IF(Data!R84&lt;=MEDIAN(Data!R$4:R$195),2,IF(Data!R84&lt;=QUARTILE(Data!R$4:R$195,3),3,4)))</f>
        <v>1</v>
      </c>
      <c r="S84" s="19">
        <f>IF(Data!S84&lt;=QUARTILE(Data!S$4:S$195,1),1,IF(Data!S84&lt;=MEDIAN(Data!S$4:S$195),2,IF(Data!S84&lt;=QUARTILE(Data!S$4:S$195,3),3,4)))</f>
        <v>3</v>
      </c>
      <c r="T84" s="19">
        <f>IF(Data!T84&lt;=QUARTILE(Data!T$4:T$195,1),1,IF(Data!T84&lt;=MEDIAN(Data!T$4:T$195),2,IF(Data!T84&lt;=QUARTILE(Data!T$4:T$195,3),3,4)))</f>
        <v>4</v>
      </c>
      <c r="U84" s="14">
        <f>IF(Data!U84&lt;=QUARTILE(Data!U$4:U$195,1),1,IF(Data!U84&lt;=MEDIAN(Data!U$4:U$195),2,IF(Data!U84&lt;=QUARTILE(Data!U$4:U$195,3),3,4)))</f>
        <v>1</v>
      </c>
      <c r="V84" s="19">
        <f>IF(Data!V84&lt;=QUARTILE(Data!V$4:V$195,1),1,IF(Data!V84&lt;=MEDIAN(Data!V$4:V$195),2,IF(Data!V84&lt;=QUARTILE(Data!V$4:V$195,3),3,4)))</f>
        <v>1</v>
      </c>
      <c r="W84" s="19">
        <f>IF(Data!W84&lt;=QUARTILE(Data!W$4:W$195,1),1,IF(Data!W84&lt;=MEDIAN(Data!W$4:W$195),2,IF(Data!W84&lt;=QUARTILE(Data!W$4:W$195,3),3,4)))</f>
        <v>3</v>
      </c>
      <c r="X84" s="15">
        <f>IF(Data!X84&lt;=QUARTILE(Data!X$4:X$195,1),1,IF(Data!X84&lt;=MEDIAN(Data!X$4:X$195),2,IF(Data!X84&lt;=QUARTILE(Data!X$4:X$195,3),3,4)))</f>
        <v>3</v>
      </c>
      <c r="Y84" s="14">
        <f>IF(Data!Y84&lt;=QUARTILE(Data!Y$4:Y$195,1),1,IF(Data!Y84&lt;=MEDIAN(Data!Y$4:Y$195),2,IF(Data!Y84&lt;=QUARTILE(Data!Y$4:Y$195,3),3,4)))</f>
        <v>2</v>
      </c>
      <c r="Z84" s="22">
        <f>IF(Data!Z84&lt;=QUARTILE(Data!Z$4:Z$195,1),1,IF(Data!Z84&lt;=MEDIAN(Data!Z$4:Z$195),2,IF(Data!Z84&lt;=QUARTILE(Data!Z$4:Z$195,3),3,4)))</f>
        <v>3</v>
      </c>
      <c r="AA84" s="14">
        <f>IF(Data!AA84&lt;=QUARTILE(Data!AA$4:AA$195,1),1,IF(Data!AA84&lt;=MEDIAN(Data!AA$4:AA$195),2,IF(Data!AA84&lt;=QUARTILE(Data!AA$4:AA$195,3),3,4)))</f>
        <v>1</v>
      </c>
      <c r="AB84" s="15">
        <f>IF(Data!AB84&lt;=QUARTILE(Data!AB$4:AB$195,1),1,IF(Data!AB84&lt;=MEDIAN(Data!AB$4:AB$195),2,IF(Data!AB84&lt;=QUARTILE(Data!AB$4:AB$195,3),3,4)))</f>
        <v>1</v>
      </c>
      <c r="AC84" s="14">
        <f>IF(Data!AC84&lt;=QUARTILE(Data!AC$4:AC$195,1),1,IF(Data!AC84&lt;=MEDIAN(Data!AC$4:AC$195),2,IF(Data!AC84&lt;=QUARTILE(Data!AC$4:AC$195,3),3,4)))</f>
        <v>4</v>
      </c>
      <c r="AD84" s="19">
        <f>IF(Data!AD84&lt;=QUARTILE(Data!AD$4:AD$195,1),1,IF(Data!AD84&lt;=MEDIAN(Data!AD$4:AD$195),2,IF(Data!AD84&lt;=QUARTILE(Data!AD$4:AD$195,3),3,4)))</f>
        <v>3</v>
      </c>
      <c r="AE84" s="14">
        <f>IF(Data!AE84&lt;=QUARTILE(Data!AE$4:AE$195,1),1,IF(Data!AE84&lt;=MEDIAN(Data!AE$4:AE$195),2,IF(Data!AE84&lt;=QUARTILE(Data!AE$4:AE$195,3),3,4)))</f>
        <v>1</v>
      </c>
      <c r="AF84" s="19">
        <f>IF(Data!AF84&lt;=QUARTILE(Data!AF$4:AF$195,1),1,IF(Data!AF84&lt;=MEDIAN(Data!AF$4:AF$195),2,IF(Data!AF84&lt;=QUARTILE(Data!AF$4:AF$195,3),3,4)))</f>
        <v>1</v>
      </c>
      <c r="AG84" s="19">
        <f>IF(Data!AG84&lt;=QUARTILE(Data!AG$4:AG$195,1),1,IF(Data!AG84&lt;=MEDIAN(Data!AG$4:AG$195),2,IF(Data!AG84&lt;=QUARTILE(Data!AG$4:AG$195,3),3,4)))</f>
        <v>2</v>
      </c>
      <c r="AH84" s="15">
        <f>IF(Data!AH84&lt;=QUARTILE(Data!AH$4:AH$195,1),1,IF(Data!AH84&lt;=MEDIAN(Data!AH$4:AH$195),2,IF(Data!AH84&lt;=QUARTILE(Data!AH$4:AH$195,3),3,4)))</f>
        <v>2</v>
      </c>
      <c r="AI84" s="14">
        <f>IF(Data!AI84&lt;=QUARTILE(Data!AI$4:AI$195,1),1,IF(Data!AI84&lt;=MEDIAN(Data!AI$4:AI$195),2,IF(Data!AI84&lt;=QUARTILE(Data!AI$4:AI$195,3),3,4)))</f>
        <v>2</v>
      </c>
      <c r="AJ84" s="15">
        <f>IF(Data!AJ84&lt;=QUARTILE(Data!AJ$4:AJ$195,1),1,IF(Data!AJ84&lt;=MEDIAN(Data!AJ$4:AJ$195),2,IF(Data!AJ84&lt;=QUARTILE(Data!AJ$4:AJ$195,3),3,4)))</f>
        <v>3</v>
      </c>
      <c r="AK84" s="14">
        <f>IF(Data!AK84&lt;=QUARTILE(Data!AK$4:AK$195,1),1,IF(Data!AK84&lt;=MEDIAN(Data!AK$4:AK$195),2,IF(Data!AK84&lt;=QUARTILE(Data!AK$4:AK$195,3),3,4)))</f>
        <v>4</v>
      </c>
      <c r="AL84" s="19">
        <f>IF(Data!AL84&lt;=QUARTILE(Data!AL$4:AL$195,1),1,IF(Data!AL84&lt;=MEDIAN(Data!AL$4:AL$195),2,IF(Data!AL84&lt;=QUARTILE(Data!AL$4:AL$195,3),3,4)))</f>
        <v>3</v>
      </c>
      <c r="AM84" s="19">
        <f>IF(Data!AM84&lt;=QUARTILE(Data!AM$4:AM$195,1),1,IF(Data!AM84&lt;=MEDIAN(Data!AM$4:AM$195),2,IF(Data!AM84&lt;=QUARTILE(Data!AM$4:AM$195,3),3,4)))</f>
        <v>2</v>
      </c>
      <c r="AN84" s="15">
        <f>IF(Data!AN84&lt;=QUARTILE(Data!AN$4:AN$195,1),1,IF(Data!AN84&lt;=MEDIAN(Data!AN$4:AN$195),2,IF(Data!AN84&lt;=QUARTILE(Data!AN$4:AN$195,3),3,4)))</f>
        <v>4</v>
      </c>
      <c r="AO84" s="14">
        <f>IF(Data!AO84&lt;=QUARTILE(Data!AO$4:AO$195,1),1,IF(Data!AO84&lt;=MEDIAN(Data!AO$4:AO$195),2,IF(Data!AO84&lt;=QUARTILE(Data!AO$4:AO$195,3),3,4)))</f>
        <v>1</v>
      </c>
      <c r="AP84" s="19">
        <f>IF(Data!AP84&lt;=QUARTILE(Data!AP$4:AP$195,1),1,IF(Data!AP84&lt;=MEDIAN(Data!AP$4:AP$195),2,IF(Data!AP84&lt;=QUARTILE(Data!AP$4:AP$195,3),3,4)))</f>
        <v>1</v>
      </c>
      <c r="AQ84" s="19">
        <f>IF(Data!AQ84&lt;=QUARTILE(Data!AQ$4:AQ$195,1),1,IF(Data!AQ84&lt;=MEDIAN(Data!AQ$4:AQ$195),2,IF(Data!AQ84&lt;=QUARTILE(Data!AQ$4:AQ$195,3),3,4)))</f>
        <v>1</v>
      </c>
      <c r="AR84" s="19">
        <f>IF(Data!AR84&lt;=QUARTILE(Data!AR$4:AR$195,1),1,IF(Data!AR84&lt;=MEDIAN(Data!AR$4:AR$195),2,IF(Data!AR84&lt;=QUARTILE(Data!AR$4:AR$195,3),3,4)))</f>
        <v>4</v>
      </c>
      <c r="AS84" s="19">
        <f>IF(Data!AS84&lt;=QUARTILE(Data!AS$4:AS$195,1),1,IF(Data!AS84&lt;=MEDIAN(Data!AS$4:AS$195),2,IF(Data!AS84&lt;=QUARTILE(Data!AS$4:AS$195,3),3,4)))</f>
        <v>2</v>
      </c>
      <c r="AT84" s="19">
        <f>IF(Data!AT84&lt;=QUARTILE(Data!AT$4:AT$195,1),1,IF(Data!AT84&lt;=MEDIAN(Data!AT$4:AT$195),2,IF(Data!AT84&lt;=QUARTILE(Data!AT$4:AT$195,3),3,4)))</f>
        <v>1</v>
      </c>
      <c r="AU84" s="19">
        <f>IF(Data!AU84&lt;=QUARTILE(Data!AU$4:AU$195,1),1,IF(Data!AU84&lt;=MEDIAN(Data!AU$4:AU$195),2,IF(Data!AU84&lt;=QUARTILE(Data!AU$4:AU$195,3),3,4)))</f>
        <v>1</v>
      </c>
      <c r="AV84" s="14">
        <f>IF(Data!AV84&lt;=QUARTILE(Data!AV$4:AV$195,1),1,IF(Data!AV84&lt;=MEDIAN(Data!AV$4:AV$195),2,IF(Data!AV84&lt;=QUARTILE(Data!AV$4:AV$195,3),3,4)))</f>
        <v>4</v>
      </c>
      <c r="AW84" s="19">
        <f>IF(Data!AW84&lt;=QUARTILE(Data!AW$4:AW$195,1),1,IF(Data!AW84&lt;=MEDIAN(Data!AW$4:AW$195),2,IF(Data!AW84&lt;=QUARTILE(Data!AW$4:AW$195,3),3,4)))</f>
        <v>4</v>
      </c>
      <c r="AX84" s="19">
        <f>IF(Data!AX84&lt;=QUARTILE(Data!AX$4:AX$195,1),1,IF(Data!AX84&lt;=MEDIAN(Data!AX$4:AX$195),2,IF(Data!AX84&lt;=QUARTILE(Data!AX$4:AX$195,3),3,4)))</f>
        <v>4</v>
      </c>
      <c r="AY84" s="15">
        <f>IF(Data!AY84&lt;=QUARTILE(Data!AY$4:AY$195,1),1,IF(Data!AY84&lt;=MEDIAN(Data!AY$4:AY$195),2,IF(Data!AY84&lt;=QUARTILE(Data!AY$4:AY$195,3),3,4)))</f>
        <v>4</v>
      </c>
      <c r="AZ84" s="14">
        <f>IF(Data!AZ84&lt;=QUARTILE(Data!AZ$4:AZ$195,1),1,IF(Data!AZ84&lt;=MEDIAN(Data!AZ$4:AZ$195),2,IF(Data!AZ84&lt;=QUARTILE(Data!AZ$4:AZ$195,3),3,4)))</f>
        <v>2</v>
      </c>
      <c r="BA84" s="15">
        <f>IF(Data!BA84&lt;=QUARTILE(Data!BA$4:BA$195,1),1,IF(Data!BA84&lt;=MEDIAN(Data!BA$4:BA$195),2,IF(Data!BA84&lt;=QUARTILE(Data!BA$4:BA$195,3),3,4)))</f>
        <v>1</v>
      </c>
    </row>
    <row r="85" spans="1:53" x14ac:dyDescent="0.25">
      <c r="A85" s="4" t="s">
        <v>23</v>
      </c>
      <c r="B85" s="40">
        <v>2007</v>
      </c>
      <c r="C85" s="14">
        <v>8</v>
      </c>
      <c r="D85" s="19">
        <v>8</v>
      </c>
      <c r="E85" s="74" t="s">
        <v>96</v>
      </c>
      <c r="F85" s="19">
        <v>3.8</v>
      </c>
      <c r="G85" s="19">
        <v>1.4</v>
      </c>
      <c r="H85" s="15">
        <v>2.4</v>
      </c>
      <c r="I85" s="14">
        <f>IF(Data!I85&lt;=QUARTILE(Data!I$4:I$195,1),1,IF(Data!I85&lt;=MEDIAN(Data!I$4:I$195),2,IF(Data!I85&lt;=QUARTILE(Data!I$4:I$195,3),3,4)))</f>
        <v>3</v>
      </c>
      <c r="J85" s="19">
        <f>IF(Data!J85&lt;=QUARTILE(Data!J$4:J$195,1),1,IF(Data!J85&lt;=MEDIAN(Data!J$4:J$195),2,IF(Data!J85&lt;=QUARTILE(Data!J$4:J$195,3),3,4)))</f>
        <v>3</v>
      </c>
      <c r="K85" s="19">
        <f>IF(Data!K85&lt;=QUARTILE(Data!K$4:K$195,1),1,IF(Data!K85&lt;=MEDIAN(Data!K$4:K$195),2,IF(Data!K85&lt;=QUARTILE(Data!K$4:K$195,3),3,4)))</f>
        <v>1</v>
      </c>
      <c r="L85" s="15">
        <f>IF(Data!L85&lt;=QUARTILE(Data!L$4:L$195,1),1,IF(Data!L85&lt;=MEDIAN(Data!L$4:L$195),2,IF(Data!L85&lt;=QUARTILE(Data!L$4:L$195,3),3,4)))</f>
        <v>2</v>
      </c>
      <c r="M85" s="14">
        <f>IF(Data!M85&lt;=QUARTILE(Data!M$4:M$195,1),1,IF(Data!M85&lt;=MEDIAN(Data!M$4:M$195),2,IF(Data!M85&lt;=QUARTILE(Data!M$4:M$195,3),3,4)))</f>
        <v>1</v>
      </c>
      <c r="N85" s="19">
        <f>IF(Data!N85&lt;=QUARTILE(Data!N$4:N$195,1),1,IF(Data!N85&lt;=MEDIAN(Data!N$4:N$195),2,IF(Data!N85&lt;=QUARTILE(Data!N$4:N$195,3),3,4)))</f>
        <v>1</v>
      </c>
      <c r="O85" s="19">
        <f>IF(Data!O85&lt;=QUARTILE(Data!O$4:O$195,1),1,IF(Data!O85&lt;=MEDIAN(Data!O$4:O$195),2,IF(Data!O85&lt;=QUARTILE(Data!O$4:O$195,3),3,4)))</f>
        <v>1</v>
      </c>
      <c r="P85" s="19">
        <f>IF(Data!P85&lt;=QUARTILE(Data!P$4:P$195,1),1,IF(Data!P85&lt;=MEDIAN(Data!P$4:P$195),2,IF(Data!P85&lt;=QUARTILE(Data!P$4:P$195,3),3,4)))</f>
        <v>1</v>
      </c>
      <c r="Q85" s="19">
        <f>IF(Data!Q85&lt;=QUARTILE(Data!Q$4:Q$195,1),1,IF(Data!Q85&lt;=MEDIAN(Data!Q$4:Q$195),2,IF(Data!Q85&lt;=QUARTILE(Data!Q$4:Q$195,3),3,4)))</f>
        <v>1</v>
      </c>
      <c r="R85" s="19">
        <f>IF(Data!R85&lt;=QUARTILE(Data!R$4:R$195,1),1,IF(Data!R85&lt;=MEDIAN(Data!R$4:R$195),2,IF(Data!R85&lt;=QUARTILE(Data!R$4:R$195,3),3,4)))</f>
        <v>2</v>
      </c>
      <c r="S85" s="19">
        <f>IF(Data!S85&lt;=QUARTILE(Data!S$4:S$195,1),1,IF(Data!S85&lt;=MEDIAN(Data!S$4:S$195),2,IF(Data!S85&lt;=QUARTILE(Data!S$4:S$195,3),3,4)))</f>
        <v>3</v>
      </c>
      <c r="T85" s="19">
        <f>IF(Data!T85&lt;=QUARTILE(Data!T$4:T$195,1),1,IF(Data!T85&lt;=MEDIAN(Data!T$4:T$195),2,IF(Data!T85&lt;=QUARTILE(Data!T$4:T$195,3),3,4)))</f>
        <v>2</v>
      </c>
      <c r="U85" s="14">
        <f>IF(Data!U85&lt;=QUARTILE(Data!U$4:U$195,1),1,IF(Data!U85&lt;=MEDIAN(Data!U$4:U$195),2,IF(Data!U85&lt;=QUARTILE(Data!U$4:U$195,3),3,4)))</f>
        <v>4</v>
      </c>
      <c r="V85" s="19">
        <f>IF(Data!V85&lt;=QUARTILE(Data!V$4:V$195,1),1,IF(Data!V85&lt;=MEDIAN(Data!V$4:V$195),2,IF(Data!V85&lt;=QUARTILE(Data!V$4:V$195,3),3,4)))</f>
        <v>4</v>
      </c>
      <c r="W85" s="19">
        <f>IF(Data!W85&lt;=QUARTILE(Data!W$4:W$195,1),1,IF(Data!W85&lt;=MEDIAN(Data!W$4:W$195),2,IF(Data!W85&lt;=QUARTILE(Data!W$4:W$195,3),3,4)))</f>
        <v>4</v>
      </c>
      <c r="X85" s="15">
        <f>IF(Data!X85&lt;=QUARTILE(Data!X$4:X$195,1),1,IF(Data!X85&lt;=MEDIAN(Data!X$4:X$195),2,IF(Data!X85&lt;=QUARTILE(Data!X$4:X$195,3),3,4)))</f>
        <v>4</v>
      </c>
      <c r="Y85" s="14">
        <f>IF(Data!Y85&lt;=QUARTILE(Data!Y$4:Y$195,1),1,IF(Data!Y85&lt;=MEDIAN(Data!Y$4:Y$195),2,IF(Data!Y85&lt;=QUARTILE(Data!Y$4:Y$195,3),3,4)))</f>
        <v>2</v>
      </c>
      <c r="Z85" s="22">
        <f>IF(Data!Z85&lt;=QUARTILE(Data!Z$4:Z$195,1),1,IF(Data!Z85&lt;=MEDIAN(Data!Z$4:Z$195),2,IF(Data!Z85&lt;=QUARTILE(Data!Z$4:Z$195,3),3,4)))</f>
        <v>3</v>
      </c>
      <c r="AA85" s="14">
        <f>IF(Data!AA85&lt;=QUARTILE(Data!AA$4:AA$195,1),1,IF(Data!AA85&lt;=MEDIAN(Data!AA$4:AA$195),2,IF(Data!AA85&lt;=QUARTILE(Data!AA$4:AA$195,3),3,4)))</f>
        <v>1</v>
      </c>
      <c r="AB85" s="15">
        <f>IF(Data!AB85&lt;=QUARTILE(Data!AB$4:AB$195,1),1,IF(Data!AB85&lt;=MEDIAN(Data!AB$4:AB$195),2,IF(Data!AB85&lt;=QUARTILE(Data!AB$4:AB$195,3),3,4)))</f>
        <v>2</v>
      </c>
      <c r="AC85" s="14">
        <f>IF(Data!AC85&lt;=QUARTILE(Data!AC$4:AC$195,1),1,IF(Data!AC85&lt;=MEDIAN(Data!AC$4:AC$195),2,IF(Data!AC85&lt;=QUARTILE(Data!AC$4:AC$195,3),3,4)))</f>
        <v>2</v>
      </c>
      <c r="AD85" s="19">
        <f>IF(Data!AD85&lt;=QUARTILE(Data!AD$4:AD$195,1),1,IF(Data!AD85&lt;=MEDIAN(Data!AD$4:AD$195),2,IF(Data!AD85&lt;=QUARTILE(Data!AD$4:AD$195,3),3,4)))</f>
        <v>2</v>
      </c>
      <c r="AE85" s="14">
        <f>IF(Data!AE85&lt;=QUARTILE(Data!AE$4:AE$195,1),1,IF(Data!AE85&lt;=MEDIAN(Data!AE$4:AE$195),2,IF(Data!AE85&lt;=QUARTILE(Data!AE$4:AE$195,3),3,4)))</f>
        <v>1</v>
      </c>
      <c r="AF85" s="19">
        <f>IF(Data!AF85&lt;=QUARTILE(Data!AF$4:AF$195,1),1,IF(Data!AF85&lt;=MEDIAN(Data!AF$4:AF$195),2,IF(Data!AF85&lt;=QUARTILE(Data!AF$4:AF$195,3),3,4)))</f>
        <v>1</v>
      </c>
      <c r="AG85" s="19">
        <f>IF(Data!AG85&lt;=QUARTILE(Data!AG$4:AG$195,1),1,IF(Data!AG85&lt;=MEDIAN(Data!AG$4:AG$195),2,IF(Data!AG85&lt;=QUARTILE(Data!AG$4:AG$195,3),3,4)))</f>
        <v>4</v>
      </c>
      <c r="AH85" s="15">
        <f>IF(Data!AH85&lt;=QUARTILE(Data!AH$4:AH$195,1),1,IF(Data!AH85&lt;=MEDIAN(Data!AH$4:AH$195),2,IF(Data!AH85&lt;=QUARTILE(Data!AH$4:AH$195,3),3,4)))</f>
        <v>4</v>
      </c>
      <c r="AI85" s="14">
        <f>IF(Data!AI85&lt;=QUARTILE(Data!AI$4:AI$195,1),1,IF(Data!AI85&lt;=MEDIAN(Data!AI$4:AI$195),2,IF(Data!AI85&lt;=QUARTILE(Data!AI$4:AI$195,3),3,4)))</f>
        <v>3</v>
      </c>
      <c r="AJ85" s="15">
        <f>IF(Data!AJ85&lt;=QUARTILE(Data!AJ$4:AJ$195,1),1,IF(Data!AJ85&lt;=MEDIAN(Data!AJ$4:AJ$195),2,IF(Data!AJ85&lt;=QUARTILE(Data!AJ$4:AJ$195,3),3,4)))</f>
        <v>4</v>
      </c>
      <c r="AK85" s="14">
        <f>IF(Data!AK85&lt;=QUARTILE(Data!AK$4:AK$195,1),1,IF(Data!AK85&lt;=MEDIAN(Data!AK$4:AK$195),2,IF(Data!AK85&lt;=QUARTILE(Data!AK$4:AK$195,3),3,4)))</f>
        <v>2</v>
      </c>
      <c r="AL85" s="19">
        <f>IF(Data!AL85&lt;=QUARTILE(Data!AL$4:AL$195,1),1,IF(Data!AL85&lt;=MEDIAN(Data!AL$4:AL$195),2,IF(Data!AL85&lt;=QUARTILE(Data!AL$4:AL$195,3),3,4)))</f>
        <v>3</v>
      </c>
      <c r="AM85" s="19">
        <f>IF(Data!AM85&lt;=QUARTILE(Data!AM$4:AM$195,1),1,IF(Data!AM85&lt;=MEDIAN(Data!AM$4:AM$195),2,IF(Data!AM85&lt;=QUARTILE(Data!AM$4:AM$195,3),3,4)))</f>
        <v>4</v>
      </c>
      <c r="AN85" s="15">
        <f>IF(Data!AN85&lt;=QUARTILE(Data!AN$4:AN$195,1),1,IF(Data!AN85&lt;=MEDIAN(Data!AN$4:AN$195),2,IF(Data!AN85&lt;=QUARTILE(Data!AN$4:AN$195,3),3,4)))</f>
        <v>3</v>
      </c>
      <c r="AO85" s="14">
        <f>IF(Data!AO85&lt;=QUARTILE(Data!AO$4:AO$195,1),1,IF(Data!AO85&lt;=MEDIAN(Data!AO$4:AO$195),2,IF(Data!AO85&lt;=QUARTILE(Data!AO$4:AO$195,3),3,4)))</f>
        <v>4</v>
      </c>
      <c r="AP85" s="19">
        <f>IF(Data!AP85&lt;=QUARTILE(Data!AP$4:AP$195,1),1,IF(Data!AP85&lt;=MEDIAN(Data!AP$4:AP$195),2,IF(Data!AP85&lt;=QUARTILE(Data!AP$4:AP$195,3),3,4)))</f>
        <v>4</v>
      </c>
      <c r="AQ85" s="19">
        <f>IF(Data!AQ85&lt;=QUARTILE(Data!AQ$4:AQ$195,1),1,IF(Data!AQ85&lt;=MEDIAN(Data!AQ$4:AQ$195),2,IF(Data!AQ85&lt;=QUARTILE(Data!AQ$4:AQ$195,3),3,4)))</f>
        <v>4</v>
      </c>
      <c r="AR85" s="19">
        <f>IF(Data!AR85&lt;=QUARTILE(Data!AR$4:AR$195,1),1,IF(Data!AR85&lt;=MEDIAN(Data!AR$4:AR$195),2,IF(Data!AR85&lt;=QUARTILE(Data!AR$4:AR$195,3),3,4)))</f>
        <v>3</v>
      </c>
      <c r="AS85" s="19">
        <f>IF(Data!AS85&lt;=QUARTILE(Data!AS$4:AS$195,1),1,IF(Data!AS85&lt;=MEDIAN(Data!AS$4:AS$195),2,IF(Data!AS85&lt;=QUARTILE(Data!AS$4:AS$195,3),3,4)))</f>
        <v>4</v>
      </c>
      <c r="AT85" s="19">
        <f>IF(Data!AT85&lt;=QUARTILE(Data!AT$4:AT$195,1),1,IF(Data!AT85&lt;=MEDIAN(Data!AT$4:AT$195),2,IF(Data!AT85&lt;=QUARTILE(Data!AT$4:AT$195,3),3,4)))</f>
        <v>3</v>
      </c>
      <c r="AU85" s="19">
        <f>IF(Data!AU85&lt;=QUARTILE(Data!AU$4:AU$195,1),1,IF(Data!AU85&lt;=MEDIAN(Data!AU$4:AU$195),2,IF(Data!AU85&lt;=QUARTILE(Data!AU$4:AU$195,3),3,4)))</f>
        <v>4</v>
      </c>
      <c r="AV85" s="14">
        <f>IF(Data!AV85&lt;=QUARTILE(Data!AV$4:AV$195,1),1,IF(Data!AV85&lt;=MEDIAN(Data!AV$4:AV$195),2,IF(Data!AV85&lt;=QUARTILE(Data!AV$4:AV$195,3),3,4)))</f>
        <v>1</v>
      </c>
      <c r="AW85" s="19">
        <f>IF(Data!AW85&lt;=QUARTILE(Data!AW$4:AW$195,1),1,IF(Data!AW85&lt;=MEDIAN(Data!AW$4:AW$195),2,IF(Data!AW85&lt;=QUARTILE(Data!AW$4:AW$195,3),3,4)))</f>
        <v>1</v>
      </c>
      <c r="AX85" s="19">
        <f>IF(Data!AX85&lt;=QUARTILE(Data!AX$4:AX$195,1),1,IF(Data!AX85&lt;=MEDIAN(Data!AX$4:AX$195),2,IF(Data!AX85&lt;=QUARTILE(Data!AX$4:AX$195,3),3,4)))</f>
        <v>1</v>
      </c>
      <c r="AY85" s="15">
        <f>IF(Data!AY85&lt;=QUARTILE(Data!AY$4:AY$195,1),1,IF(Data!AY85&lt;=MEDIAN(Data!AY$4:AY$195),2,IF(Data!AY85&lt;=QUARTILE(Data!AY$4:AY$195,3),3,4)))</f>
        <v>1</v>
      </c>
      <c r="AZ85" s="14">
        <f>IF(Data!AZ85&lt;=QUARTILE(Data!AZ$4:AZ$195,1),1,IF(Data!AZ85&lt;=MEDIAN(Data!AZ$4:AZ$195),2,IF(Data!AZ85&lt;=QUARTILE(Data!AZ$4:AZ$195,3),3,4)))</f>
        <v>2</v>
      </c>
      <c r="BA85" s="15">
        <f>IF(Data!BA85&lt;=QUARTILE(Data!BA$4:BA$195,1),1,IF(Data!BA85&lt;=MEDIAN(Data!BA$4:BA$195),2,IF(Data!BA85&lt;=QUARTILE(Data!BA$4:BA$195,3),3,4)))</f>
        <v>4</v>
      </c>
    </row>
    <row r="86" spans="1:53" x14ac:dyDescent="0.25">
      <c r="A86" s="4" t="s">
        <v>3</v>
      </c>
      <c r="B86" s="40">
        <v>2007</v>
      </c>
      <c r="C86" s="14">
        <v>16</v>
      </c>
      <c r="D86" s="19">
        <v>0</v>
      </c>
      <c r="E86" s="74" t="s">
        <v>97</v>
      </c>
      <c r="F86" s="19">
        <v>20.100000000000001</v>
      </c>
      <c r="G86" s="19">
        <v>15.9</v>
      </c>
      <c r="H86" s="15">
        <v>4.2</v>
      </c>
      <c r="I86" s="14">
        <f>IF(Data!I86&lt;=QUARTILE(Data!I$4:I$195,1),1,IF(Data!I86&lt;=MEDIAN(Data!I$4:I$195),2,IF(Data!I86&lt;=QUARTILE(Data!I$4:I$195,3),3,4)))</f>
        <v>4</v>
      </c>
      <c r="J86" s="19">
        <f>IF(Data!J86&lt;=QUARTILE(Data!J$4:J$195,1),1,IF(Data!J86&lt;=MEDIAN(Data!J$4:J$195),2,IF(Data!J86&lt;=QUARTILE(Data!J$4:J$195,3),3,4)))</f>
        <v>4</v>
      </c>
      <c r="K86" s="19">
        <f>IF(Data!K86&lt;=QUARTILE(Data!K$4:K$195,1),1,IF(Data!K86&lt;=MEDIAN(Data!K$4:K$195),2,IF(Data!K86&lt;=QUARTILE(Data!K$4:K$195,3),3,4)))</f>
        <v>4</v>
      </c>
      <c r="L86" s="15">
        <f>IF(Data!L86&lt;=QUARTILE(Data!L$4:L$195,1),1,IF(Data!L86&lt;=MEDIAN(Data!L$4:L$195),2,IF(Data!L86&lt;=QUARTILE(Data!L$4:L$195,3),3,4)))</f>
        <v>4</v>
      </c>
      <c r="M86" s="14">
        <f>IF(Data!M86&lt;=QUARTILE(Data!M$4:M$195,1),1,IF(Data!M86&lt;=MEDIAN(Data!M$4:M$195),2,IF(Data!M86&lt;=QUARTILE(Data!M$4:M$195,3),3,4)))</f>
        <v>4</v>
      </c>
      <c r="N86" s="19">
        <f>IF(Data!N86&lt;=QUARTILE(Data!N$4:N$195,1),1,IF(Data!N86&lt;=MEDIAN(Data!N$4:N$195),2,IF(Data!N86&lt;=QUARTILE(Data!N$4:N$195,3),3,4)))</f>
        <v>4</v>
      </c>
      <c r="O86" s="19">
        <f>IF(Data!O86&lt;=QUARTILE(Data!O$4:O$195,1),1,IF(Data!O86&lt;=MEDIAN(Data!O$4:O$195),2,IF(Data!O86&lt;=QUARTILE(Data!O$4:O$195,3),3,4)))</f>
        <v>4</v>
      </c>
      <c r="P86" s="19">
        <f>IF(Data!P86&lt;=QUARTILE(Data!P$4:P$195,1),1,IF(Data!P86&lt;=MEDIAN(Data!P$4:P$195),2,IF(Data!P86&lt;=QUARTILE(Data!P$4:P$195,3),3,4)))</f>
        <v>4</v>
      </c>
      <c r="Q86" s="19">
        <f>IF(Data!Q86&lt;=QUARTILE(Data!Q$4:Q$195,1),1,IF(Data!Q86&lt;=MEDIAN(Data!Q$4:Q$195),2,IF(Data!Q86&lt;=QUARTILE(Data!Q$4:Q$195,3),3,4)))</f>
        <v>4</v>
      </c>
      <c r="R86" s="19">
        <f>IF(Data!R86&lt;=QUARTILE(Data!R$4:R$195,1),1,IF(Data!R86&lt;=MEDIAN(Data!R$4:R$195),2,IF(Data!R86&lt;=QUARTILE(Data!R$4:R$195,3),3,4)))</f>
        <v>4</v>
      </c>
      <c r="S86" s="19">
        <f>IF(Data!S86&lt;=QUARTILE(Data!S$4:S$195,1),1,IF(Data!S86&lt;=MEDIAN(Data!S$4:S$195),2,IF(Data!S86&lt;=QUARTILE(Data!S$4:S$195,3),3,4)))</f>
        <v>1</v>
      </c>
      <c r="T86" s="19">
        <f>IF(Data!T86&lt;=QUARTILE(Data!T$4:T$195,1),1,IF(Data!T86&lt;=MEDIAN(Data!T$4:T$195),2,IF(Data!T86&lt;=QUARTILE(Data!T$4:T$195,3),3,4)))</f>
        <v>1</v>
      </c>
      <c r="U86" s="14">
        <f>IF(Data!U86&lt;=QUARTILE(Data!U$4:U$195,1),1,IF(Data!U86&lt;=MEDIAN(Data!U$4:U$195),2,IF(Data!U86&lt;=QUARTILE(Data!U$4:U$195,3),3,4)))</f>
        <v>3</v>
      </c>
      <c r="V86" s="19">
        <f>IF(Data!V86&lt;=QUARTILE(Data!V$4:V$195,1),1,IF(Data!V86&lt;=MEDIAN(Data!V$4:V$195),2,IF(Data!V86&lt;=QUARTILE(Data!V$4:V$195,3),3,4)))</f>
        <v>3</v>
      </c>
      <c r="W86" s="19">
        <f>IF(Data!W86&lt;=QUARTILE(Data!W$4:W$195,1),1,IF(Data!W86&lt;=MEDIAN(Data!W$4:W$195),2,IF(Data!W86&lt;=QUARTILE(Data!W$4:W$195,3),3,4)))</f>
        <v>3</v>
      </c>
      <c r="X86" s="15">
        <f>IF(Data!X86&lt;=QUARTILE(Data!X$4:X$195,1),1,IF(Data!X86&lt;=MEDIAN(Data!X$4:X$195),2,IF(Data!X86&lt;=QUARTILE(Data!X$4:X$195,3),3,4)))</f>
        <v>4</v>
      </c>
      <c r="Y86" s="14">
        <f>IF(Data!Y86&lt;=QUARTILE(Data!Y$4:Y$195,1),1,IF(Data!Y86&lt;=MEDIAN(Data!Y$4:Y$195),2,IF(Data!Y86&lt;=QUARTILE(Data!Y$4:Y$195,3),3,4)))</f>
        <v>1</v>
      </c>
      <c r="Z86" s="22">
        <f>IF(Data!Z86&lt;=QUARTILE(Data!Z$4:Z$195,1),1,IF(Data!Z86&lt;=MEDIAN(Data!Z$4:Z$195),2,IF(Data!Z86&lt;=QUARTILE(Data!Z$4:Z$195,3),3,4)))</f>
        <v>1</v>
      </c>
      <c r="AA86" s="14">
        <f>IF(Data!AA86&lt;=QUARTILE(Data!AA$4:AA$195,1),1,IF(Data!AA86&lt;=MEDIAN(Data!AA$4:AA$195),2,IF(Data!AA86&lt;=QUARTILE(Data!AA$4:AA$195,3),3,4)))</f>
        <v>2</v>
      </c>
      <c r="AB86" s="15">
        <f>IF(Data!AB86&lt;=QUARTILE(Data!AB$4:AB$195,1),1,IF(Data!AB86&lt;=MEDIAN(Data!AB$4:AB$195),2,IF(Data!AB86&lt;=QUARTILE(Data!AB$4:AB$195,3),3,4)))</f>
        <v>3</v>
      </c>
      <c r="AC86" s="14">
        <f>IF(Data!AC86&lt;=QUARTILE(Data!AC$4:AC$195,1),1,IF(Data!AC86&lt;=MEDIAN(Data!AC$4:AC$195),2,IF(Data!AC86&lt;=QUARTILE(Data!AC$4:AC$195,3),3,4)))</f>
        <v>1</v>
      </c>
      <c r="AD86" s="19">
        <f>IF(Data!AD86&lt;=QUARTILE(Data!AD$4:AD$195,1),1,IF(Data!AD86&lt;=MEDIAN(Data!AD$4:AD$195),2,IF(Data!AD86&lt;=QUARTILE(Data!AD$4:AD$195,3),3,4)))</f>
        <v>2</v>
      </c>
      <c r="AE86" s="14">
        <f>IF(Data!AE86&lt;=QUARTILE(Data!AE$4:AE$195,1),1,IF(Data!AE86&lt;=MEDIAN(Data!AE$4:AE$195),2,IF(Data!AE86&lt;=QUARTILE(Data!AE$4:AE$195,3),3,4)))</f>
        <v>3</v>
      </c>
      <c r="AF86" s="19">
        <f>IF(Data!AF86&lt;=QUARTILE(Data!AF$4:AF$195,1),1,IF(Data!AF86&lt;=MEDIAN(Data!AF$4:AF$195),2,IF(Data!AF86&lt;=QUARTILE(Data!AF$4:AF$195,3),3,4)))</f>
        <v>3</v>
      </c>
      <c r="AG86" s="19">
        <f>IF(Data!AG86&lt;=QUARTILE(Data!AG$4:AG$195,1),1,IF(Data!AG86&lt;=MEDIAN(Data!AG$4:AG$195),2,IF(Data!AG86&lt;=QUARTILE(Data!AG$4:AG$195,3),3,4)))</f>
        <v>1</v>
      </c>
      <c r="AH86" s="15">
        <f>IF(Data!AH86&lt;=QUARTILE(Data!AH$4:AH$195,1),1,IF(Data!AH86&lt;=MEDIAN(Data!AH$4:AH$195),2,IF(Data!AH86&lt;=QUARTILE(Data!AH$4:AH$195,3),3,4)))</f>
        <v>1</v>
      </c>
      <c r="AI86" s="14">
        <f>IF(Data!AI86&lt;=QUARTILE(Data!AI$4:AI$195,1),1,IF(Data!AI86&lt;=MEDIAN(Data!AI$4:AI$195),2,IF(Data!AI86&lt;=QUARTILE(Data!AI$4:AI$195,3),3,4)))</f>
        <v>1</v>
      </c>
      <c r="AJ86" s="15">
        <f>IF(Data!AJ86&lt;=QUARTILE(Data!AJ$4:AJ$195,1),1,IF(Data!AJ86&lt;=MEDIAN(Data!AJ$4:AJ$195),2,IF(Data!AJ86&lt;=QUARTILE(Data!AJ$4:AJ$195,3),3,4)))</f>
        <v>1</v>
      </c>
      <c r="AK86" s="14">
        <f>IF(Data!AK86&lt;=QUARTILE(Data!AK$4:AK$195,1),1,IF(Data!AK86&lt;=MEDIAN(Data!AK$4:AK$195),2,IF(Data!AK86&lt;=QUARTILE(Data!AK$4:AK$195,3),3,4)))</f>
        <v>1</v>
      </c>
      <c r="AL86" s="19">
        <f>IF(Data!AL86&lt;=QUARTILE(Data!AL$4:AL$195,1),1,IF(Data!AL86&lt;=MEDIAN(Data!AL$4:AL$195),2,IF(Data!AL86&lt;=QUARTILE(Data!AL$4:AL$195,3),3,4)))</f>
        <v>1</v>
      </c>
      <c r="AM86" s="19">
        <f>IF(Data!AM86&lt;=QUARTILE(Data!AM$4:AM$195,1),1,IF(Data!AM86&lt;=MEDIAN(Data!AM$4:AM$195),2,IF(Data!AM86&lt;=QUARTILE(Data!AM$4:AM$195,3),3,4)))</f>
        <v>1</v>
      </c>
      <c r="AN86" s="15">
        <f>IF(Data!AN86&lt;=QUARTILE(Data!AN$4:AN$195,1),1,IF(Data!AN86&lt;=MEDIAN(Data!AN$4:AN$195),2,IF(Data!AN86&lt;=QUARTILE(Data!AN$4:AN$195,3),3,4)))</f>
        <v>1</v>
      </c>
      <c r="AO86" s="14">
        <f>IF(Data!AO86&lt;=QUARTILE(Data!AO$4:AO$195,1),1,IF(Data!AO86&lt;=MEDIAN(Data!AO$4:AO$195),2,IF(Data!AO86&lt;=QUARTILE(Data!AO$4:AO$195,3),3,4)))</f>
        <v>2</v>
      </c>
      <c r="AP86" s="19">
        <f>IF(Data!AP86&lt;=QUARTILE(Data!AP$4:AP$195,1),1,IF(Data!AP86&lt;=MEDIAN(Data!AP$4:AP$195),2,IF(Data!AP86&lt;=QUARTILE(Data!AP$4:AP$195,3),3,4)))</f>
        <v>3</v>
      </c>
      <c r="AQ86" s="19">
        <f>IF(Data!AQ86&lt;=QUARTILE(Data!AQ$4:AQ$195,1),1,IF(Data!AQ86&lt;=MEDIAN(Data!AQ$4:AQ$195),2,IF(Data!AQ86&lt;=QUARTILE(Data!AQ$4:AQ$195,3),3,4)))</f>
        <v>1</v>
      </c>
      <c r="AR86" s="19">
        <f>IF(Data!AR86&lt;=QUARTILE(Data!AR$4:AR$195,1),1,IF(Data!AR86&lt;=MEDIAN(Data!AR$4:AR$195),2,IF(Data!AR86&lt;=QUARTILE(Data!AR$4:AR$195,3),3,4)))</f>
        <v>3</v>
      </c>
      <c r="AS86" s="19">
        <f>IF(Data!AS86&lt;=QUARTILE(Data!AS$4:AS$195,1),1,IF(Data!AS86&lt;=MEDIAN(Data!AS$4:AS$195),2,IF(Data!AS86&lt;=QUARTILE(Data!AS$4:AS$195,3),3,4)))</f>
        <v>2</v>
      </c>
      <c r="AT86" s="19">
        <f>IF(Data!AT86&lt;=QUARTILE(Data!AT$4:AT$195,1),1,IF(Data!AT86&lt;=MEDIAN(Data!AT$4:AT$195),2,IF(Data!AT86&lt;=QUARTILE(Data!AT$4:AT$195,3),3,4)))</f>
        <v>4</v>
      </c>
      <c r="AU86" s="19">
        <f>IF(Data!AU86&lt;=QUARTILE(Data!AU$4:AU$195,1),1,IF(Data!AU86&lt;=MEDIAN(Data!AU$4:AU$195),2,IF(Data!AU86&lt;=QUARTILE(Data!AU$4:AU$195,3),3,4)))</f>
        <v>4</v>
      </c>
      <c r="AV86" s="14">
        <f>IF(Data!AV86&lt;=QUARTILE(Data!AV$4:AV$195,1),1,IF(Data!AV86&lt;=MEDIAN(Data!AV$4:AV$195),2,IF(Data!AV86&lt;=QUARTILE(Data!AV$4:AV$195,3),3,4)))</f>
        <v>1</v>
      </c>
      <c r="AW86" s="19">
        <f>IF(Data!AW86&lt;=QUARTILE(Data!AW$4:AW$195,1),1,IF(Data!AW86&lt;=MEDIAN(Data!AW$4:AW$195),2,IF(Data!AW86&lt;=QUARTILE(Data!AW$4:AW$195,3),3,4)))</f>
        <v>1</v>
      </c>
      <c r="AX86" s="19">
        <f>IF(Data!AX86&lt;=QUARTILE(Data!AX$4:AX$195,1),1,IF(Data!AX86&lt;=MEDIAN(Data!AX$4:AX$195),2,IF(Data!AX86&lt;=QUARTILE(Data!AX$4:AX$195,3),3,4)))</f>
        <v>1</v>
      </c>
      <c r="AY86" s="15">
        <f>IF(Data!AY86&lt;=QUARTILE(Data!AY$4:AY$195,1),1,IF(Data!AY86&lt;=MEDIAN(Data!AY$4:AY$195),2,IF(Data!AY86&lt;=QUARTILE(Data!AY$4:AY$195,3),3,4)))</f>
        <v>2</v>
      </c>
      <c r="AZ86" s="14">
        <f>IF(Data!AZ86&lt;=QUARTILE(Data!AZ$4:AZ$195,1),1,IF(Data!AZ86&lt;=MEDIAN(Data!AZ$4:AZ$195),2,IF(Data!AZ86&lt;=QUARTILE(Data!AZ$4:AZ$195,3),3,4)))</f>
        <v>3</v>
      </c>
      <c r="BA86" s="15">
        <f>IF(Data!BA86&lt;=QUARTILE(Data!BA$4:BA$195,1),1,IF(Data!BA86&lt;=MEDIAN(Data!BA$4:BA$195),2,IF(Data!BA86&lt;=QUARTILE(Data!BA$4:BA$195,3),3,4)))</f>
        <v>3</v>
      </c>
    </row>
    <row r="87" spans="1:53" x14ac:dyDescent="0.25">
      <c r="A87" s="4" t="s">
        <v>27</v>
      </c>
      <c r="B87" s="40">
        <v>2007</v>
      </c>
      <c r="C87" s="14">
        <v>7</v>
      </c>
      <c r="D87" s="19">
        <v>9</v>
      </c>
      <c r="E87" s="74" t="s">
        <v>96</v>
      </c>
      <c r="F87" s="19">
        <v>-2.5</v>
      </c>
      <c r="G87" s="19">
        <v>1.9</v>
      </c>
      <c r="H87" s="15">
        <v>-4.5</v>
      </c>
      <c r="I87" s="14">
        <f>IF(Data!I87&lt;=QUARTILE(Data!I$4:I$195,1),1,IF(Data!I87&lt;=MEDIAN(Data!I$4:I$195),2,IF(Data!I87&lt;=QUARTILE(Data!I$4:I$195,3),3,4)))</f>
        <v>3</v>
      </c>
      <c r="J87" s="19">
        <f>IF(Data!J87&lt;=QUARTILE(Data!J$4:J$195,1),1,IF(Data!J87&lt;=MEDIAN(Data!J$4:J$195),2,IF(Data!J87&lt;=QUARTILE(Data!J$4:J$195,3),3,4)))</f>
        <v>4</v>
      </c>
      <c r="K87" s="19">
        <f>IF(Data!K87&lt;=QUARTILE(Data!K$4:K$195,1),1,IF(Data!K87&lt;=MEDIAN(Data!K$4:K$195),2,IF(Data!K87&lt;=QUARTILE(Data!K$4:K$195,3),3,4)))</f>
        <v>4</v>
      </c>
      <c r="L87" s="15">
        <f>IF(Data!L87&lt;=QUARTILE(Data!L$4:L$195,1),1,IF(Data!L87&lt;=MEDIAN(Data!L$4:L$195),2,IF(Data!L87&lt;=QUARTILE(Data!L$4:L$195,3),3,4)))</f>
        <v>4</v>
      </c>
      <c r="M87" s="14">
        <f>IF(Data!M87&lt;=QUARTILE(Data!M$4:M$195,1),1,IF(Data!M87&lt;=MEDIAN(Data!M$4:M$195),2,IF(Data!M87&lt;=QUARTILE(Data!M$4:M$195,3),3,4)))</f>
        <v>4</v>
      </c>
      <c r="N87" s="19">
        <f>IF(Data!N87&lt;=QUARTILE(Data!N$4:N$195,1),1,IF(Data!N87&lt;=MEDIAN(Data!N$4:N$195),2,IF(Data!N87&lt;=QUARTILE(Data!N$4:N$195,3),3,4)))</f>
        <v>4</v>
      </c>
      <c r="O87" s="19">
        <f>IF(Data!O87&lt;=QUARTILE(Data!O$4:O$195,1),1,IF(Data!O87&lt;=MEDIAN(Data!O$4:O$195),2,IF(Data!O87&lt;=QUARTILE(Data!O$4:O$195,3),3,4)))</f>
        <v>4</v>
      </c>
      <c r="P87" s="19">
        <f>IF(Data!P87&lt;=QUARTILE(Data!P$4:P$195,1),1,IF(Data!P87&lt;=MEDIAN(Data!P$4:P$195),2,IF(Data!P87&lt;=QUARTILE(Data!P$4:P$195,3),3,4)))</f>
        <v>4</v>
      </c>
      <c r="Q87" s="19">
        <f>IF(Data!Q87&lt;=QUARTILE(Data!Q$4:Q$195,1),1,IF(Data!Q87&lt;=MEDIAN(Data!Q$4:Q$195),2,IF(Data!Q87&lt;=QUARTILE(Data!Q$4:Q$195,3),3,4)))</f>
        <v>4</v>
      </c>
      <c r="R87" s="19">
        <f>IF(Data!R87&lt;=QUARTILE(Data!R$4:R$195,1),1,IF(Data!R87&lt;=MEDIAN(Data!R$4:R$195),2,IF(Data!R87&lt;=QUARTILE(Data!R$4:R$195,3),3,4)))</f>
        <v>4</v>
      </c>
      <c r="S87" s="19">
        <f>IF(Data!S87&lt;=QUARTILE(Data!S$4:S$195,1),1,IF(Data!S87&lt;=MEDIAN(Data!S$4:S$195),2,IF(Data!S87&lt;=QUARTILE(Data!S$4:S$195,3),3,4)))</f>
        <v>1</v>
      </c>
      <c r="T87" s="19">
        <f>IF(Data!T87&lt;=QUARTILE(Data!T$4:T$195,1),1,IF(Data!T87&lt;=MEDIAN(Data!T$4:T$195),2,IF(Data!T87&lt;=QUARTILE(Data!T$4:T$195,3),3,4)))</f>
        <v>1</v>
      </c>
      <c r="U87" s="14">
        <f>IF(Data!U87&lt;=QUARTILE(Data!U$4:U$195,1),1,IF(Data!U87&lt;=MEDIAN(Data!U$4:U$195),2,IF(Data!U87&lt;=QUARTILE(Data!U$4:U$195,3),3,4)))</f>
        <v>1</v>
      </c>
      <c r="V87" s="19">
        <f>IF(Data!V87&lt;=QUARTILE(Data!V$4:V$195,1),1,IF(Data!V87&lt;=MEDIAN(Data!V$4:V$195),2,IF(Data!V87&lt;=QUARTILE(Data!V$4:V$195,3),3,4)))</f>
        <v>1</v>
      </c>
      <c r="W87" s="19">
        <f>IF(Data!W87&lt;=QUARTILE(Data!W$4:W$195,1),1,IF(Data!W87&lt;=MEDIAN(Data!W$4:W$195),2,IF(Data!W87&lt;=QUARTILE(Data!W$4:W$195,3),3,4)))</f>
        <v>3</v>
      </c>
      <c r="X87" s="15">
        <f>IF(Data!X87&lt;=QUARTILE(Data!X$4:X$195,1),1,IF(Data!X87&lt;=MEDIAN(Data!X$4:X$195),2,IF(Data!X87&lt;=QUARTILE(Data!X$4:X$195,3),3,4)))</f>
        <v>2</v>
      </c>
      <c r="Y87" s="14">
        <f>IF(Data!Y87&lt;=QUARTILE(Data!Y$4:Y$195,1),1,IF(Data!Y87&lt;=MEDIAN(Data!Y$4:Y$195),2,IF(Data!Y87&lt;=QUARTILE(Data!Y$4:Y$195,3),3,4)))</f>
        <v>3</v>
      </c>
      <c r="Z87" s="22">
        <f>IF(Data!Z87&lt;=QUARTILE(Data!Z$4:Z$195,1),1,IF(Data!Z87&lt;=MEDIAN(Data!Z$4:Z$195),2,IF(Data!Z87&lt;=QUARTILE(Data!Z$4:Z$195,3),3,4)))</f>
        <v>2</v>
      </c>
      <c r="AA87" s="14">
        <f>IF(Data!AA87&lt;=QUARTILE(Data!AA$4:AA$195,1),1,IF(Data!AA87&lt;=MEDIAN(Data!AA$4:AA$195),2,IF(Data!AA87&lt;=QUARTILE(Data!AA$4:AA$195,3),3,4)))</f>
        <v>1</v>
      </c>
      <c r="AB87" s="15">
        <f>IF(Data!AB87&lt;=QUARTILE(Data!AB$4:AB$195,1),1,IF(Data!AB87&lt;=MEDIAN(Data!AB$4:AB$195),2,IF(Data!AB87&lt;=QUARTILE(Data!AB$4:AB$195,3),3,4)))</f>
        <v>1</v>
      </c>
      <c r="AC87" s="14">
        <f>IF(Data!AC87&lt;=QUARTILE(Data!AC$4:AC$195,1),1,IF(Data!AC87&lt;=MEDIAN(Data!AC$4:AC$195),2,IF(Data!AC87&lt;=QUARTILE(Data!AC$4:AC$195,3),3,4)))</f>
        <v>3</v>
      </c>
      <c r="AD87" s="19">
        <f>IF(Data!AD87&lt;=QUARTILE(Data!AD$4:AD$195,1),1,IF(Data!AD87&lt;=MEDIAN(Data!AD$4:AD$195),2,IF(Data!AD87&lt;=QUARTILE(Data!AD$4:AD$195,3),3,4)))</f>
        <v>3</v>
      </c>
      <c r="AE87" s="14">
        <f>IF(Data!AE87&lt;=QUARTILE(Data!AE$4:AE$195,1),1,IF(Data!AE87&lt;=MEDIAN(Data!AE$4:AE$195),2,IF(Data!AE87&lt;=QUARTILE(Data!AE$4:AE$195,3),3,4)))</f>
        <v>1</v>
      </c>
      <c r="AF87" s="19">
        <f>IF(Data!AF87&lt;=QUARTILE(Data!AF$4:AF$195,1),1,IF(Data!AF87&lt;=MEDIAN(Data!AF$4:AF$195),2,IF(Data!AF87&lt;=QUARTILE(Data!AF$4:AF$195,3),3,4)))</f>
        <v>1</v>
      </c>
      <c r="AG87" s="19">
        <f>IF(Data!AG87&lt;=QUARTILE(Data!AG$4:AG$195,1),1,IF(Data!AG87&lt;=MEDIAN(Data!AG$4:AG$195),2,IF(Data!AG87&lt;=QUARTILE(Data!AG$4:AG$195,3),3,4)))</f>
        <v>2</v>
      </c>
      <c r="AH87" s="15">
        <f>IF(Data!AH87&lt;=QUARTILE(Data!AH$4:AH$195,1),1,IF(Data!AH87&lt;=MEDIAN(Data!AH$4:AH$195),2,IF(Data!AH87&lt;=QUARTILE(Data!AH$4:AH$195,3),3,4)))</f>
        <v>1</v>
      </c>
      <c r="AI87" s="14">
        <f>IF(Data!AI87&lt;=QUARTILE(Data!AI$4:AI$195,1),1,IF(Data!AI87&lt;=MEDIAN(Data!AI$4:AI$195),2,IF(Data!AI87&lt;=QUARTILE(Data!AI$4:AI$195,3),3,4)))</f>
        <v>1</v>
      </c>
      <c r="AJ87" s="15">
        <f>IF(Data!AJ87&lt;=QUARTILE(Data!AJ$4:AJ$195,1),1,IF(Data!AJ87&lt;=MEDIAN(Data!AJ$4:AJ$195),2,IF(Data!AJ87&lt;=QUARTILE(Data!AJ$4:AJ$195,3),3,4)))</f>
        <v>2</v>
      </c>
      <c r="AK87" s="14">
        <f>IF(Data!AK87&lt;=QUARTILE(Data!AK$4:AK$195,1),1,IF(Data!AK87&lt;=MEDIAN(Data!AK$4:AK$195),2,IF(Data!AK87&lt;=QUARTILE(Data!AK$4:AK$195,3),3,4)))</f>
        <v>4</v>
      </c>
      <c r="AL87" s="19">
        <f>IF(Data!AL87&lt;=QUARTILE(Data!AL$4:AL$195,1),1,IF(Data!AL87&lt;=MEDIAN(Data!AL$4:AL$195),2,IF(Data!AL87&lt;=QUARTILE(Data!AL$4:AL$195,3),3,4)))</f>
        <v>4</v>
      </c>
      <c r="AM87" s="19">
        <f>IF(Data!AM87&lt;=QUARTILE(Data!AM$4:AM$195,1),1,IF(Data!AM87&lt;=MEDIAN(Data!AM$4:AM$195),2,IF(Data!AM87&lt;=QUARTILE(Data!AM$4:AM$195,3),3,4)))</f>
        <v>1</v>
      </c>
      <c r="AN87" s="15">
        <f>IF(Data!AN87&lt;=QUARTILE(Data!AN$4:AN$195,1),1,IF(Data!AN87&lt;=MEDIAN(Data!AN$4:AN$195),2,IF(Data!AN87&lt;=QUARTILE(Data!AN$4:AN$195,3),3,4)))</f>
        <v>2</v>
      </c>
      <c r="AO87" s="14">
        <f>IF(Data!AO87&lt;=QUARTILE(Data!AO$4:AO$195,1),1,IF(Data!AO87&lt;=MEDIAN(Data!AO$4:AO$195),2,IF(Data!AO87&lt;=QUARTILE(Data!AO$4:AO$195,3),3,4)))</f>
        <v>3</v>
      </c>
      <c r="AP87" s="19">
        <f>IF(Data!AP87&lt;=QUARTILE(Data!AP$4:AP$195,1),1,IF(Data!AP87&lt;=MEDIAN(Data!AP$4:AP$195),2,IF(Data!AP87&lt;=QUARTILE(Data!AP$4:AP$195,3),3,4)))</f>
        <v>3</v>
      </c>
      <c r="AQ87" s="19">
        <f>IF(Data!AQ87&lt;=QUARTILE(Data!AQ$4:AQ$195,1),1,IF(Data!AQ87&lt;=MEDIAN(Data!AQ$4:AQ$195),2,IF(Data!AQ87&lt;=QUARTILE(Data!AQ$4:AQ$195,3),3,4)))</f>
        <v>4</v>
      </c>
      <c r="AR87" s="19">
        <f>IF(Data!AR87&lt;=QUARTILE(Data!AR$4:AR$195,1),1,IF(Data!AR87&lt;=MEDIAN(Data!AR$4:AR$195),2,IF(Data!AR87&lt;=QUARTILE(Data!AR$4:AR$195,3),3,4)))</f>
        <v>4</v>
      </c>
      <c r="AS87" s="19">
        <f>IF(Data!AS87&lt;=QUARTILE(Data!AS$4:AS$195,1),1,IF(Data!AS87&lt;=MEDIAN(Data!AS$4:AS$195),2,IF(Data!AS87&lt;=QUARTILE(Data!AS$4:AS$195,3),3,4)))</f>
        <v>4</v>
      </c>
      <c r="AT87" s="19">
        <f>IF(Data!AT87&lt;=QUARTILE(Data!AT$4:AT$195,1),1,IF(Data!AT87&lt;=MEDIAN(Data!AT$4:AT$195),2,IF(Data!AT87&lt;=QUARTILE(Data!AT$4:AT$195,3),3,4)))</f>
        <v>2</v>
      </c>
      <c r="AU87" s="19">
        <f>IF(Data!AU87&lt;=QUARTILE(Data!AU$4:AU$195,1),1,IF(Data!AU87&lt;=MEDIAN(Data!AU$4:AU$195),2,IF(Data!AU87&lt;=QUARTILE(Data!AU$4:AU$195,3),3,4)))</f>
        <v>2</v>
      </c>
      <c r="AV87" s="14">
        <f>IF(Data!AV87&lt;=QUARTILE(Data!AV$4:AV$195,1),1,IF(Data!AV87&lt;=MEDIAN(Data!AV$4:AV$195),2,IF(Data!AV87&lt;=QUARTILE(Data!AV$4:AV$195,3),3,4)))</f>
        <v>1</v>
      </c>
      <c r="AW87" s="19">
        <f>IF(Data!AW87&lt;=QUARTILE(Data!AW$4:AW$195,1),1,IF(Data!AW87&lt;=MEDIAN(Data!AW$4:AW$195),2,IF(Data!AW87&lt;=QUARTILE(Data!AW$4:AW$195,3),3,4)))</f>
        <v>2</v>
      </c>
      <c r="AX87" s="19">
        <f>IF(Data!AX87&lt;=QUARTILE(Data!AX$4:AX$195,1),1,IF(Data!AX87&lt;=MEDIAN(Data!AX$4:AX$195),2,IF(Data!AX87&lt;=QUARTILE(Data!AX$4:AX$195,3),3,4)))</f>
        <v>1</v>
      </c>
      <c r="AY87" s="15">
        <f>IF(Data!AY87&lt;=QUARTILE(Data!AY$4:AY$195,1),1,IF(Data!AY87&lt;=MEDIAN(Data!AY$4:AY$195),2,IF(Data!AY87&lt;=QUARTILE(Data!AY$4:AY$195,3),3,4)))</f>
        <v>1</v>
      </c>
      <c r="AZ87" s="14">
        <f>IF(Data!AZ87&lt;=QUARTILE(Data!AZ$4:AZ$195,1),1,IF(Data!AZ87&lt;=MEDIAN(Data!AZ$4:AZ$195),2,IF(Data!AZ87&lt;=QUARTILE(Data!AZ$4:AZ$195,3),3,4)))</f>
        <v>1</v>
      </c>
      <c r="BA87" s="15">
        <f>IF(Data!BA87&lt;=QUARTILE(Data!BA$4:BA$195,1),1,IF(Data!BA87&lt;=MEDIAN(Data!BA$4:BA$195),2,IF(Data!BA87&lt;=QUARTILE(Data!BA$4:BA$195,3),3,4)))</f>
        <v>2</v>
      </c>
    </row>
    <row r="88" spans="1:53" x14ac:dyDescent="0.25">
      <c r="A88" s="4" t="s">
        <v>21</v>
      </c>
      <c r="B88" s="40">
        <v>2007</v>
      </c>
      <c r="C88" s="14">
        <v>10</v>
      </c>
      <c r="D88" s="19">
        <v>6</v>
      </c>
      <c r="E88" s="74" t="s">
        <v>97</v>
      </c>
      <c r="F88" s="19">
        <v>3.3</v>
      </c>
      <c r="G88" s="19">
        <v>2.8</v>
      </c>
      <c r="H88" s="15">
        <v>0.4</v>
      </c>
      <c r="I88" s="14">
        <f>IF(Data!I88&lt;=QUARTILE(Data!I$4:I$195,1),1,IF(Data!I88&lt;=MEDIAN(Data!I$4:I$195),2,IF(Data!I88&lt;=QUARTILE(Data!I$4:I$195,3),3,4)))</f>
        <v>3</v>
      </c>
      <c r="J88" s="19">
        <f>IF(Data!J88&lt;=QUARTILE(Data!J$4:J$195,1),1,IF(Data!J88&lt;=MEDIAN(Data!J$4:J$195),2,IF(Data!J88&lt;=QUARTILE(Data!J$4:J$195,3),3,4)))</f>
        <v>3</v>
      </c>
      <c r="K88" s="19">
        <f>IF(Data!K88&lt;=QUARTILE(Data!K$4:K$195,1),1,IF(Data!K88&lt;=MEDIAN(Data!K$4:K$195),2,IF(Data!K88&lt;=QUARTILE(Data!K$4:K$195,3),3,4)))</f>
        <v>4</v>
      </c>
      <c r="L88" s="15">
        <f>IF(Data!L88&lt;=QUARTILE(Data!L$4:L$195,1),1,IF(Data!L88&lt;=MEDIAN(Data!L$4:L$195),2,IF(Data!L88&lt;=QUARTILE(Data!L$4:L$195,3),3,4)))</f>
        <v>3</v>
      </c>
      <c r="M88" s="14">
        <f>IF(Data!M88&lt;=QUARTILE(Data!M$4:M$195,1),1,IF(Data!M88&lt;=MEDIAN(Data!M$4:M$195),2,IF(Data!M88&lt;=QUARTILE(Data!M$4:M$195,3),3,4)))</f>
        <v>2</v>
      </c>
      <c r="N88" s="19">
        <f>IF(Data!N88&lt;=QUARTILE(Data!N$4:N$195,1),1,IF(Data!N88&lt;=MEDIAN(Data!N$4:N$195),2,IF(Data!N88&lt;=QUARTILE(Data!N$4:N$195,3),3,4)))</f>
        <v>3</v>
      </c>
      <c r="O88" s="19">
        <f>IF(Data!O88&lt;=QUARTILE(Data!O$4:O$195,1),1,IF(Data!O88&lt;=MEDIAN(Data!O$4:O$195),2,IF(Data!O88&lt;=QUARTILE(Data!O$4:O$195,3),3,4)))</f>
        <v>2</v>
      </c>
      <c r="P88" s="19">
        <f>IF(Data!P88&lt;=QUARTILE(Data!P$4:P$195,1),1,IF(Data!P88&lt;=MEDIAN(Data!P$4:P$195),2,IF(Data!P88&lt;=QUARTILE(Data!P$4:P$195,3),3,4)))</f>
        <v>3</v>
      </c>
      <c r="Q88" s="19">
        <f>IF(Data!Q88&lt;=QUARTILE(Data!Q$4:Q$195,1),1,IF(Data!Q88&lt;=MEDIAN(Data!Q$4:Q$195),2,IF(Data!Q88&lt;=QUARTILE(Data!Q$4:Q$195,3),3,4)))</f>
        <v>2</v>
      </c>
      <c r="R88" s="19">
        <f>IF(Data!R88&lt;=QUARTILE(Data!R$4:R$195,1),1,IF(Data!R88&lt;=MEDIAN(Data!R$4:R$195),2,IF(Data!R88&lt;=QUARTILE(Data!R$4:R$195,3),3,4)))</f>
        <v>1</v>
      </c>
      <c r="S88" s="19">
        <f>IF(Data!S88&lt;=QUARTILE(Data!S$4:S$195,1),1,IF(Data!S88&lt;=MEDIAN(Data!S$4:S$195),2,IF(Data!S88&lt;=QUARTILE(Data!S$4:S$195,3),3,4)))</f>
        <v>1</v>
      </c>
      <c r="T88" s="19">
        <f>IF(Data!T88&lt;=QUARTILE(Data!T$4:T$195,1),1,IF(Data!T88&lt;=MEDIAN(Data!T$4:T$195),2,IF(Data!T88&lt;=QUARTILE(Data!T$4:T$195,3),3,4)))</f>
        <v>3</v>
      </c>
      <c r="U88" s="14">
        <f>IF(Data!U88&lt;=QUARTILE(Data!U$4:U$195,1),1,IF(Data!U88&lt;=MEDIAN(Data!U$4:U$195),2,IF(Data!U88&lt;=QUARTILE(Data!U$4:U$195,3),3,4)))</f>
        <v>3</v>
      </c>
      <c r="V88" s="19">
        <f>IF(Data!V88&lt;=QUARTILE(Data!V$4:V$195,1),1,IF(Data!V88&lt;=MEDIAN(Data!V$4:V$195),2,IF(Data!V88&lt;=QUARTILE(Data!V$4:V$195,3),3,4)))</f>
        <v>4</v>
      </c>
      <c r="W88" s="19">
        <f>IF(Data!W88&lt;=QUARTILE(Data!W$4:W$195,1),1,IF(Data!W88&lt;=MEDIAN(Data!W$4:W$195),2,IF(Data!W88&lt;=QUARTILE(Data!W$4:W$195,3),3,4)))</f>
        <v>3</v>
      </c>
      <c r="X88" s="15">
        <f>IF(Data!X88&lt;=QUARTILE(Data!X$4:X$195,1),1,IF(Data!X88&lt;=MEDIAN(Data!X$4:X$195),2,IF(Data!X88&lt;=QUARTILE(Data!X$4:X$195,3),3,4)))</f>
        <v>4</v>
      </c>
      <c r="Y88" s="14">
        <f>IF(Data!Y88&lt;=QUARTILE(Data!Y$4:Y$195,1),1,IF(Data!Y88&lt;=MEDIAN(Data!Y$4:Y$195),2,IF(Data!Y88&lt;=QUARTILE(Data!Y$4:Y$195,3),3,4)))</f>
        <v>4</v>
      </c>
      <c r="Z88" s="22">
        <f>IF(Data!Z88&lt;=QUARTILE(Data!Z$4:Z$195,1),1,IF(Data!Z88&lt;=MEDIAN(Data!Z$4:Z$195),2,IF(Data!Z88&lt;=QUARTILE(Data!Z$4:Z$195,3),3,4)))</f>
        <v>3</v>
      </c>
      <c r="AA88" s="14">
        <f>IF(Data!AA88&lt;=QUARTILE(Data!AA$4:AA$195,1),1,IF(Data!AA88&lt;=MEDIAN(Data!AA$4:AA$195),2,IF(Data!AA88&lt;=QUARTILE(Data!AA$4:AA$195,3),3,4)))</f>
        <v>3</v>
      </c>
      <c r="AB88" s="15">
        <f>IF(Data!AB88&lt;=QUARTILE(Data!AB$4:AB$195,1),1,IF(Data!AB88&lt;=MEDIAN(Data!AB$4:AB$195),2,IF(Data!AB88&lt;=QUARTILE(Data!AB$4:AB$195,3),3,4)))</f>
        <v>3</v>
      </c>
      <c r="AC88" s="14">
        <f>IF(Data!AC88&lt;=QUARTILE(Data!AC$4:AC$195,1),1,IF(Data!AC88&lt;=MEDIAN(Data!AC$4:AC$195),2,IF(Data!AC88&lt;=QUARTILE(Data!AC$4:AC$195,3),3,4)))</f>
        <v>3</v>
      </c>
      <c r="AD88" s="19">
        <f>IF(Data!AD88&lt;=QUARTILE(Data!AD$4:AD$195,1),1,IF(Data!AD88&lt;=MEDIAN(Data!AD$4:AD$195),2,IF(Data!AD88&lt;=QUARTILE(Data!AD$4:AD$195,3),3,4)))</f>
        <v>3</v>
      </c>
      <c r="AE88" s="14">
        <f>IF(Data!AE88&lt;=QUARTILE(Data!AE$4:AE$195,1),1,IF(Data!AE88&lt;=MEDIAN(Data!AE$4:AE$195),2,IF(Data!AE88&lt;=QUARTILE(Data!AE$4:AE$195,3),3,4)))</f>
        <v>3</v>
      </c>
      <c r="AF88" s="19">
        <f>IF(Data!AF88&lt;=QUARTILE(Data!AF$4:AF$195,1),1,IF(Data!AF88&lt;=MEDIAN(Data!AF$4:AF$195),2,IF(Data!AF88&lt;=QUARTILE(Data!AF$4:AF$195,3),3,4)))</f>
        <v>2</v>
      </c>
      <c r="AG88" s="19">
        <f>IF(Data!AG88&lt;=QUARTILE(Data!AG$4:AG$195,1),1,IF(Data!AG88&lt;=MEDIAN(Data!AG$4:AG$195),2,IF(Data!AG88&lt;=QUARTILE(Data!AG$4:AG$195,3),3,4)))</f>
        <v>1</v>
      </c>
      <c r="AH88" s="15">
        <f>IF(Data!AH88&lt;=QUARTILE(Data!AH$4:AH$195,1),1,IF(Data!AH88&lt;=MEDIAN(Data!AH$4:AH$195),2,IF(Data!AH88&lt;=QUARTILE(Data!AH$4:AH$195,3),3,4)))</f>
        <v>2</v>
      </c>
      <c r="AI88" s="14">
        <f>IF(Data!AI88&lt;=QUARTILE(Data!AI$4:AI$195,1),1,IF(Data!AI88&lt;=MEDIAN(Data!AI$4:AI$195),2,IF(Data!AI88&lt;=QUARTILE(Data!AI$4:AI$195,3),3,4)))</f>
        <v>2</v>
      </c>
      <c r="AJ88" s="15">
        <f>IF(Data!AJ88&lt;=QUARTILE(Data!AJ$4:AJ$195,1),1,IF(Data!AJ88&lt;=MEDIAN(Data!AJ$4:AJ$195),2,IF(Data!AJ88&lt;=QUARTILE(Data!AJ$4:AJ$195,3),3,4)))</f>
        <v>2</v>
      </c>
      <c r="AK88" s="14">
        <f>IF(Data!AK88&lt;=QUARTILE(Data!AK$4:AK$195,1),1,IF(Data!AK88&lt;=MEDIAN(Data!AK$4:AK$195),2,IF(Data!AK88&lt;=QUARTILE(Data!AK$4:AK$195,3),3,4)))</f>
        <v>3</v>
      </c>
      <c r="AL88" s="19">
        <f>IF(Data!AL88&lt;=QUARTILE(Data!AL$4:AL$195,1),1,IF(Data!AL88&lt;=MEDIAN(Data!AL$4:AL$195),2,IF(Data!AL88&lt;=QUARTILE(Data!AL$4:AL$195,3),3,4)))</f>
        <v>1</v>
      </c>
      <c r="AM88" s="19">
        <f>IF(Data!AM88&lt;=QUARTILE(Data!AM$4:AM$195,1),1,IF(Data!AM88&lt;=MEDIAN(Data!AM$4:AM$195),2,IF(Data!AM88&lt;=QUARTILE(Data!AM$4:AM$195,3),3,4)))</f>
        <v>2</v>
      </c>
      <c r="AN88" s="15">
        <f>IF(Data!AN88&lt;=QUARTILE(Data!AN$4:AN$195,1),1,IF(Data!AN88&lt;=MEDIAN(Data!AN$4:AN$195),2,IF(Data!AN88&lt;=QUARTILE(Data!AN$4:AN$195,3),3,4)))</f>
        <v>2</v>
      </c>
      <c r="AO88" s="14">
        <f>IF(Data!AO88&lt;=QUARTILE(Data!AO$4:AO$195,1),1,IF(Data!AO88&lt;=MEDIAN(Data!AO$4:AO$195),2,IF(Data!AO88&lt;=QUARTILE(Data!AO$4:AO$195,3),3,4)))</f>
        <v>2</v>
      </c>
      <c r="AP88" s="19">
        <f>IF(Data!AP88&lt;=QUARTILE(Data!AP$4:AP$195,1),1,IF(Data!AP88&lt;=MEDIAN(Data!AP$4:AP$195),2,IF(Data!AP88&lt;=QUARTILE(Data!AP$4:AP$195,3),3,4)))</f>
        <v>3</v>
      </c>
      <c r="AQ88" s="19">
        <f>IF(Data!AQ88&lt;=QUARTILE(Data!AQ$4:AQ$195,1),1,IF(Data!AQ88&lt;=MEDIAN(Data!AQ$4:AQ$195),2,IF(Data!AQ88&lt;=QUARTILE(Data!AQ$4:AQ$195,3),3,4)))</f>
        <v>2</v>
      </c>
      <c r="AR88" s="19">
        <f>IF(Data!AR88&lt;=QUARTILE(Data!AR$4:AR$195,1),1,IF(Data!AR88&lt;=MEDIAN(Data!AR$4:AR$195),2,IF(Data!AR88&lt;=QUARTILE(Data!AR$4:AR$195,3),3,4)))</f>
        <v>3</v>
      </c>
      <c r="AS88" s="19">
        <f>IF(Data!AS88&lt;=QUARTILE(Data!AS$4:AS$195,1),1,IF(Data!AS88&lt;=MEDIAN(Data!AS$4:AS$195),2,IF(Data!AS88&lt;=QUARTILE(Data!AS$4:AS$195,3),3,4)))</f>
        <v>3</v>
      </c>
      <c r="AT88" s="19">
        <f>IF(Data!AT88&lt;=QUARTILE(Data!AT$4:AT$195,1),1,IF(Data!AT88&lt;=MEDIAN(Data!AT$4:AT$195),2,IF(Data!AT88&lt;=QUARTILE(Data!AT$4:AT$195,3),3,4)))</f>
        <v>4</v>
      </c>
      <c r="AU88" s="19">
        <f>IF(Data!AU88&lt;=QUARTILE(Data!AU$4:AU$195,1),1,IF(Data!AU88&lt;=MEDIAN(Data!AU$4:AU$195),2,IF(Data!AU88&lt;=QUARTILE(Data!AU$4:AU$195,3),3,4)))</f>
        <v>4</v>
      </c>
      <c r="AV88" s="14">
        <f>IF(Data!AV88&lt;=QUARTILE(Data!AV$4:AV$195,1),1,IF(Data!AV88&lt;=MEDIAN(Data!AV$4:AV$195),2,IF(Data!AV88&lt;=QUARTILE(Data!AV$4:AV$195,3),3,4)))</f>
        <v>1</v>
      </c>
      <c r="AW88" s="19">
        <f>IF(Data!AW88&lt;=QUARTILE(Data!AW$4:AW$195,1),1,IF(Data!AW88&lt;=MEDIAN(Data!AW$4:AW$195),2,IF(Data!AW88&lt;=QUARTILE(Data!AW$4:AW$195,3),3,4)))</f>
        <v>1</v>
      </c>
      <c r="AX88" s="19">
        <f>IF(Data!AX88&lt;=QUARTILE(Data!AX$4:AX$195,1),1,IF(Data!AX88&lt;=MEDIAN(Data!AX$4:AX$195),2,IF(Data!AX88&lt;=QUARTILE(Data!AX$4:AX$195,3),3,4)))</f>
        <v>2</v>
      </c>
      <c r="AY88" s="15">
        <f>IF(Data!AY88&lt;=QUARTILE(Data!AY$4:AY$195,1),1,IF(Data!AY88&lt;=MEDIAN(Data!AY$4:AY$195),2,IF(Data!AY88&lt;=QUARTILE(Data!AY$4:AY$195,3),3,4)))</f>
        <v>1</v>
      </c>
      <c r="AZ88" s="14">
        <f>IF(Data!AZ88&lt;=QUARTILE(Data!AZ$4:AZ$195,1),1,IF(Data!AZ88&lt;=MEDIAN(Data!AZ$4:AZ$195),2,IF(Data!AZ88&lt;=QUARTILE(Data!AZ$4:AZ$195,3),3,4)))</f>
        <v>2</v>
      </c>
      <c r="BA88" s="15">
        <f>IF(Data!BA88&lt;=QUARTILE(Data!BA$4:BA$195,1),1,IF(Data!BA88&lt;=MEDIAN(Data!BA$4:BA$195),2,IF(Data!BA88&lt;=QUARTILE(Data!BA$4:BA$195,3),3,4)))</f>
        <v>2</v>
      </c>
    </row>
    <row r="89" spans="1:53" x14ac:dyDescent="0.25">
      <c r="A89" s="4" t="s">
        <v>4</v>
      </c>
      <c r="B89" s="40">
        <v>2007</v>
      </c>
      <c r="C89" s="14">
        <v>4</v>
      </c>
      <c r="D89" s="19">
        <v>12</v>
      </c>
      <c r="E89" s="74" t="s">
        <v>96</v>
      </c>
      <c r="F89" s="19">
        <v>-3.7</v>
      </c>
      <c r="G89" s="19">
        <v>-4</v>
      </c>
      <c r="H89" s="15">
        <v>0.3</v>
      </c>
      <c r="I89" s="14">
        <f>IF(Data!I89&lt;=QUARTILE(Data!I$4:I$195,1),1,IF(Data!I89&lt;=MEDIAN(Data!I$4:I$195),2,IF(Data!I89&lt;=QUARTILE(Data!I$4:I$195,3),3,4)))</f>
        <v>1</v>
      </c>
      <c r="J89" s="19">
        <f>IF(Data!J89&lt;=QUARTILE(Data!J$4:J$195,1),1,IF(Data!J89&lt;=MEDIAN(Data!J$4:J$195),2,IF(Data!J89&lt;=QUARTILE(Data!J$4:J$195,3),3,4)))</f>
        <v>1</v>
      </c>
      <c r="K89" s="19">
        <f>IF(Data!K89&lt;=QUARTILE(Data!K$4:K$195,1),1,IF(Data!K89&lt;=MEDIAN(Data!K$4:K$195),2,IF(Data!K89&lt;=QUARTILE(Data!K$4:K$195,3),3,4)))</f>
        <v>3</v>
      </c>
      <c r="L89" s="15">
        <f>IF(Data!L89&lt;=QUARTILE(Data!L$4:L$195,1),1,IF(Data!L89&lt;=MEDIAN(Data!L$4:L$195),2,IF(Data!L89&lt;=QUARTILE(Data!L$4:L$195,3),3,4)))</f>
        <v>2</v>
      </c>
      <c r="M89" s="14">
        <f>IF(Data!M89&lt;=QUARTILE(Data!M$4:M$195,1),1,IF(Data!M89&lt;=MEDIAN(Data!M$4:M$195),2,IF(Data!M89&lt;=QUARTILE(Data!M$4:M$195,3),3,4)))</f>
        <v>2</v>
      </c>
      <c r="N89" s="19">
        <f>IF(Data!N89&lt;=QUARTILE(Data!N$4:N$195,1),1,IF(Data!N89&lt;=MEDIAN(Data!N$4:N$195),2,IF(Data!N89&lt;=QUARTILE(Data!N$4:N$195,3),3,4)))</f>
        <v>2</v>
      </c>
      <c r="O89" s="19">
        <f>IF(Data!O89&lt;=QUARTILE(Data!O$4:O$195,1),1,IF(Data!O89&lt;=MEDIAN(Data!O$4:O$195),2,IF(Data!O89&lt;=QUARTILE(Data!O$4:O$195,3),3,4)))</f>
        <v>2</v>
      </c>
      <c r="P89" s="19">
        <f>IF(Data!P89&lt;=QUARTILE(Data!P$4:P$195,1),1,IF(Data!P89&lt;=MEDIAN(Data!P$4:P$195),2,IF(Data!P89&lt;=QUARTILE(Data!P$4:P$195,3),3,4)))</f>
        <v>1</v>
      </c>
      <c r="Q89" s="19">
        <f>IF(Data!Q89&lt;=QUARTILE(Data!Q$4:Q$195,1),1,IF(Data!Q89&lt;=MEDIAN(Data!Q$4:Q$195),2,IF(Data!Q89&lt;=QUARTILE(Data!Q$4:Q$195,3),3,4)))</f>
        <v>3</v>
      </c>
      <c r="R89" s="19">
        <f>IF(Data!R89&lt;=QUARTILE(Data!R$4:R$195,1),1,IF(Data!R89&lt;=MEDIAN(Data!R$4:R$195),2,IF(Data!R89&lt;=QUARTILE(Data!R$4:R$195,3),3,4)))</f>
        <v>2</v>
      </c>
      <c r="S89" s="19">
        <f>IF(Data!S89&lt;=QUARTILE(Data!S$4:S$195,1),1,IF(Data!S89&lt;=MEDIAN(Data!S$4:S$195),2,IF(Data!S89&lt;=QUARTILE(Data!S$4:S$195,3),3,4)))</f>
        <v>4</v>
      </c>
      <c r="T89" s="19">
        <f>IF(Data!T89&lt;=QUARTILE(Data!T$4:T$195,1),1,IF(Data!T89&lt;=MEDIAN(Data!T$4:T$195),2,IF(Data!T89&lt;=QUARTILE(Data!T$4:T$195,3),3,4)))</f>
        <v>4</v>
      </c>
      <c r="U89" s="14">
        <f>IF(Data!U89&lt;=QUARTILE(Data!U$4:U$195,1),1,IF(Data!U89&lt;=MEDIAN(Data!U$4:U$195),2,IF(Data!U89&lt;=QUARTILE(Data!U$4:U$195,3),3,4)))</f>
        <v>3</v>
      </c>
      <c r="V89" s="19">
        <f>IF(Data!V89&lt;=QUARTILE(Data!V$4:V$195,1),1,IF(Data!V89&lt;=MEDIAN(Data!V$4:V$195),2,IF(Data!V89&lt;=QUARTILE(Data!V$4:V$195,3),3,4)))</f>
        <v>2</v>
      </c>
      <c r="W89" s="19">
        <f>IF(Data!W89&lt;=QUARTILE(Data!W$4:W$195,1),1,IF(Data!W89&lt;=MEDIAN(Data!W$4:W$195),2,IF(Data!W89&lt;=QUARTILE(Data!W$4:W$195,3),3,4)))</f>
        <v>1</v>
      </c>
      <c r="X89" s="15">
        <f>IF(Data!X89&lt;=QUARTILE(Data!X$4:X$195,1),1,IF(Data!X89&lt;=MEDIAN(Data!X$4:X$195),2,IF(Data!X89&lt;=QUARTILE(Data!X$4:X$195,3),3,4)))</f>
        <v>2</v>
      </c>
      <c r="Y89" s="14">
        <f>IF(Data!Y89&lt;=QUARTILE(Data!Y$4:Y$195,1),1,IF(Data!Y89&lt;=MEDIAN(Data!Y$4:Y$195),2,IF(Data!Y89&lt;=QUARTILE(Data!Y$4:Y$195,3),3,4)))</f>
        <v>3</v>
      </c>
      <c r="Z89" s="22">
        <f>IF(Data!Z89&lt;=QUARTILE(Data!Z$4:Z$195,1),1,IF(Data!Z89&lt;=MEDIAN(Data!Z$4:Z$195),2,IF(Data!Z89&lt;=QUARTILE(Data!Z$4:Z$195,3),3,4)))</f>
        <v>1</v>
      </c>
      <c r="AA89" s="14">
        <f>IF(Data!AA89&lt;=QUARTILE(Data!AA$4:AA$195,1),1,IF(Data!AA89&lt;=MEDIAN(Data!AA$4:AA$195),2,IF(Data!AA89&lt;=QUARTILE(Data!AA$4:AA$195,3),3,4)))</f>
        <v>1</v>
      </c>
      <c r="AB89" s="15">
        <f>IF(Data!AB89&lt;=QUARTILE(Data!AB$4:AB$195,1),1,IF(Data!AB89&lt;=MEDIAN(Data!AB$4:AB$195),2,IF(Data!AB89&lt;=QUARTILE(Data!AB$4:AB$195,3),3,4)))</f>
        <v>1</v>
      </c>
      <c r="AC89" s="14">
        <f>IF(Data!AC89&lt;=QUARTILE(Data!AC$4:AC$195,1),1,IF(Data!AC89&lt;=MEDIAN(Data!AC$4:AC$195),2,IF(Data!AC89&lt;=QUARTILE(Data!AC$4:AC$195,3),3,4)))</f>
        <v>4</v>
      </c>
      <c r="AD89" s="19">
        <f>IF(Data!AD89&lt;=QUARTILE(Data!AD$4:AD$195,1),1,IF(Data!AD89&lt;=MEDIAN(Data!AD$4:AD$195),2,IF(Data!AD89&lt;=QUARTILE(Data!AD$4:AD$195,3),3,4)))</f>
        <v>4</v>
      </c>
      <c r="AE89" s="14">
        <f>IF(Data!AE89&lt;=QUARTILE(Data!AE$4:AE$195,1),1,IF(Data!AE89&lt;=MEDIAN(Data!AE$4:AE$195),2,IF(Data!AE89&lt;=QUARTILE(Data!AE$4:AE$195,3),3,4)))</f>
        <v>4</v>
      </c>
      <c r="AF89" s="19">
        <f>IF(Data!AF89&lt;=QUARTILE(Data!AF$4:AF$195,1),1,IF(Data!AF89&lt;=MEDIAN(Data!AF$4:AF$195),2,IF(Data!AF89&lt;=QUARTILE(Data!AF$4:AF$195,3),3,4)))</f>
        <v>4</v>
      </c>
      <c r="AG89" s="19">
        <f>IF(Data!AG89&lt;=QUARTILE(Data!AG$4:AG$195,1),1,IF(Data!AG89&lt;=MEDIAN(Data!AG$4:AG$195),2,IF(Data!AG89&lt;=QUARTILE(Data!AG$4:AG$195,3),3,4)))</f>
        <v>3</v>
      </c>
      <c r="AH89" s="15">
        <f>IF(Data!AH89&lt;=QUARTILE(Data!AH$4:AH$195,1),1,IF(Data!AH89&lt;=MEDIAN(Data!AH$4:AH$195),2,IF(Data!AH89&lt;=QUARTILE(Data!AH$4:AH$195,3),3,4)))</f>
        <v>2</v>
      </c>
      <c r="AI89" s="14">
        <f>IF(Data!AI89&lt;=QUARTILE(Data!AI$4:AI$195,1),1,IF(Data!AI89&lt;=MEDIAN(Data!AI$4:AI$195),2,IF(Data!AI89&lt;=QUARTILE(Data!AI$4:AI$195,3),3,4)))</f>
        <v>2</v>
      </c>
      <c r="AJ89" s="15">
        <f>IF(Data!AJ89&lt;=QUARTILE(Data!AJ$4:AJ$195,1),1,IF(Data!AJ89&lt;=MEDIAN(Data!AJ$4:AJ$195),2,IF(Data!AJ89&lt;=QUARTILE(Data!AJ$4:AJ$195,3),3,4)))</f>
        <v>2</v>
      </c>
      <c r="AK89" s="14">
        <f>IF(Data!AK89&lt;=QUARTILE(Data!AK$4:AK$195,1),1,IF(Data!AK89&lt;=MEDIAN(Data!AK$4:AK$195),2,IF(Data!AK89&lt;=QUARTILE(Data!AK$4:AK$195,3),3,4)))</f>
        <v>3</v>
      </c>
      <c r="AL89" s="19">
        <f>IF(Data!AL89&lt;=QUARTILE(Data!AL$4:AL$195,1),1,IF(Data!AL89&lt;=MEDIAN(Data!AL$4:AL$195),2,IF(Data!AL89&lt;=QUARTILE(Data!AL$4:AL$195,3),3,4)))</f>
        <v>3</v>
      </c>
      <c r="AM89" s="19">
        <f>IF(Data!AM89&lt;=QUARTILE(Data!AM$4:AM$195,1),1,IF(Data!AM89&lt;=MEDIAN(Data!AM$4:AM$195),2,IF(Data!AM89&lt;=QUARTILE(Data!AM$4:AM$195,3),3,4)))</f>
        <v>3</v>
      </c>
      <c r="AN89" s="15">
        <f>IF(Data!AN89&lt;=QUARTILE(Data!AN$4:AN$195,1),1,IF(Data!AN89&lt;=MEDIAN(Data!AN$4:AN$195),2,IF(Data!AN89&lt;=QUARTILE(Data!AN$4:AN$195,3),3,4)))</f>
        <v>4</v>
      </c>
      <c r="AO89" s="14">
        <f>IF(Data!AO89&lt;=QUARTILE(Data!AO$4:AO$195,1),1,IF(Data!AO89&lt;=MEDIAN(Data!AO$4:AO$195),2,IF(Data!AO89&lt;=QUARTILE(Data!AO$4:AO$195,3),3,4)))</f>
        <v>1</v>
      </c>
      <c r="AP89" s="19">
        <f>IF(Data!AP89&lt;=QUARTILE(Data!AP$4:AP$195,1),1,IF(Data!AP89&lt;=MEDIAN(Data!AP$4:AP$195),2,IF(Data!AP89&lt;=QUARTILE(Data!AP$4:AP$195,3),3,4)))</f>
        <v>1</v>
      </c>
      <c r="AQ89" s="19">
        <f>IF(Data!AQ89&lt;=QUARTILE(Data!AQ$4:AQ$195,1),1,IF(Data!AQ89&lt;=MEDIAN(Data!AQ$4:AQ$195),2,IF(Data!AQ89&lt;=QUARTILE(Data!AQ$4:AQ$195,3),3,4)))</f>
        <v>2</v>
      </c>
      <c r="AR89" s="19">
        <f>IF(Data!AR89&lt;=QUARTILE(Data!AR$4:AR$195,1),1,IF(Data!AR89&lt;=MEDIAN(Data!AR$4:AR$195),2,IF(Data!AR89&lt;=QUARTILE(Data!AR$4:AR$195,3),3,4)))</f>
        <v>1</v>
      </c>
      <c r="AS89" s="19">
        <f>IF(Data!AS89&lt;=QUARTILE(Data!AS$4:AS$195,1),1,IF(Data!AS89&lt;=MEDIAN(Data!AS$4:AS$195),2,IF(Data!AS89&lt;=QUARTILE(Data!AS$4:AS$195,3),3,4)))</f>
        <v>2</v>
      </c>
      <c r="AT89" s="19">
        <f>IF(Data!AT89&lt;=QUARTILE(Data!AT$4:AT$195,1),1,IF(Data!AT89&lt;=MEDIAN(Data!AT$4:AT$195),2,IF(Data!AT89&lt;=QUARTILE(Data!AT$4:AT$195,3),3,4)))</f>
        <v>1</v>
      </c>
      <c r="AU89" s="19">
        <f>IF(Data!AU89&lt;=QUARTILE(Data!AU$4:AU$195,1),1,IF(Data!AU89&lt;=MEDIAN(Data!AU$4:AU$195),2,IF(Data!AU89&lt;=QUARTILE(Data!AU$4:AU$195,3),3,4)))</f>
        <v>2</v>
      </c>
      <c r="AV89" s="14">
        <f>IF(Data!AV89&lt;=QUARTILE(Data!AV$4:AV$195,1),1,IF(Data!AV89&lt;=MEDIAN(Data!AV$4:AV$195),2,IF(Data!AV89&lt;=QUARTILE(Data!AV$4:AV$195,3),3,4)))</f>
        <v>4</v>
      </c>
      <c r="AW89" s="19">
        <f>IF(Data!AW89&lt;=QUARTILE(Data!AW$4:AW$195,1),1,IF(Data!AW89&lt;=MEDIAN(Data!AW$4:AW$195),2,IF(Data!AW89&lt;=QUARTILE(Data!AW$4:AW$195,3),3,4)))</f>
        <v>4</v>
      </c>
      <c r="AX89" s="19">
        <f>IF(Data!AX89&lt;=QUARTILE(Data!AX$4:AX$195,1),1,IF(Data!AX89&lt;=MEDIAN(Data!AX$4:AX$195),2,IF(Data!AX89&lt;=QUARTILE(Data!AX$4:AX$195,3),3,4)))</f>
        <v>3</v>
      </c>
      <c r="AY89" s="15">
        <f>IF(Data!AY89&lt;=QUARTILE(Data!AY$4:AY$195,1),1,IF(Data!AY89&lt;=MEDIAN(Data!AY$4:AY$195),2,IF(Data!AY89&lt;=QUARTILE(Data!AY$4:AY$195,3),3,4)))</f>
        <v>4</v>
      </c>
      <c r="AZ89" s="14">
        <f>IF(Data!AZ89&lt;=QUARTILE(Data!AZ$4:AZ$195,1),1,IF(Data!AZ89&lt;=MEDIAN(Data!AZ$4:AZ$195),2,IF(Data!AZ89&lt;=QUARTILE(Data!AZ$4:AZ$195,3),3,4)))</f>
        <v>2</v>
      </c>
      <c r="BA89" s="15">
        <f>IF(Data!BA89&lt;=QUARTILE(Data!BA$4:BA$195,1),1,IF(Data!BA89&lt;=MEDIAN(Data!BA$4:BA$195),2,IF(Data!BA89&lt;=QUARTILE(Data!BA$4:BA$195,3),3,4)))</f>
        <v>1</v>
      </c>
    </row>
    <row r="90" spans="1:53" x14ac:dyDescent="0.25">
      <c r="A90" s="4" t="s">
        <v>17</v>
      </c>
      <c r="B90" s="40">
        <v>2007</v>
      </c>
      <c r="C90" s="14">
        <v>4</v>
      </c>
      <c r="D90" s="19">
        <v>12</v>
      </c>
      <c r="E90" s="74" t="s">
        <v>96</v>
      </c>
      <c r="F90" s="19">
        <v>-6</v>
      </c>
      <c r="G90" s="19">
        <v>-3.5</v>
      </c>
      <c r="H90" s="15">
        <v>-2.5</v>
      </c>
      <c r="I90" s="14">
        <f>IF(Data!I90&lt;=QUARTILE(Data!I$4:I$195,1),1,IF(Data!I90&lt;=MEDIAN(Data!I$4:I$195),2,IF(Data!I90&lt;=QUARTILE(Data!I$4:I$195,3),3,4)))</f>
        <v>1</v>
      </c>
      <c r="J90" s="19">
        <f>IF(Data!J90&lt;=QUARTILE(Data!J$4:J$195,1),1,IF(Data!J90&lt;=MEDIAN(Data!J$4:J$195),2,IF(Data!J90&lt;=QUARTILE(Data!J$4:J$195,3),3,4)))</f>
        <v>1</v>
      </c>
      <c r="K90" s="19">
        <f>IF(Data!K90&lt;=QUARTILE(Data!K$4:K$195,1),1,IF(Data!K90&lt;=MEDIAN(Data!K$4:K$195),2,IF(Data!K90&lt;=QUARTILE(Data!K$4:K$195,3),3,4)))</f>
        <v>2</v>
      </c>
      <c r="L90" s="15">
        <f>IF(Data!L90&lt;=QUARTILE(Data!L$4:L$195,1),1,IF(Data!L90&lt;=MEDIAN(Data!L$4:L$195),2,IF(Data!L90&lt;=QUARTILE(Data!L$4:L$195,3),3,4)))</f>
        <v>1</v>
      </c>
      <c r="M90" s="14">
        <f>IF(Data!M90&lt;=QUARTILE(Data!M$4:M$195,1),1,IF(Data!M90&lt;=MEDIAN(Data!M$4:M$195),2,IF(Data!M90&lt;=QUARTILE(Data!M$4:M$195,3),3,4)))</f>
        <v>1</v>
      </c>
      <c r="N90" s="19">
        <f>IF(Data!N90&lt;=QUARTILE(Data!N$4:N$195,1),1,IF(Data!N90&lt;=MEDIAN(Data!N$4:N$195),2,IF(Data!N90&lt;=QUARTILE(Data!N$4:N$195,3),3,4)))</f>
        <v>1</v>
      </c>
      <c r="O90" s="19">
        <f>IF(Data!O90&lt;=QUARTILE(Data!O$4:O$195,1),1,IF(Data!O90&lt;=MEDIAN(Data!O$4:O$195),2,IF(Data!O90&lt;=QUARTILE(Data!O$4:O$195,3),3,4)))</f>
        <v>1</v>
      </c>
      <c r="P90" s="19">
        <f>IF(Data!P90&lt;=QUARTILE(Data!P$4:P$195,1),1,IF(Data!P90&lt;=MEDIAN(Data!P$4:P$195),2,IF(Data!P90&lt;=QUARTILE(Data!P$4:P$195,3),3,4)))</f>
        <v>2</v>
      </c>
      <c r="Q90" s="19">
        <f>IF(Data!Q90&lt;=QUARTILE(Data!Q$4:Q$195,1),1,IF(Data!Q90&lt;=MEDIAN(Data!Q$4:Q$195),2,IF(Data!Q90&lt;=QUARTILE(Data!Q$4:Q$195,3),3,4)))</f>
        <v>1</v>
      </c>
      <c r="R90" s="19">
        <f>IF(Data!R90&lt;=QUARTILE(Data!R$4:R$195,1),1,IF(Data!R90&lt;=MEDIAN(Data!R$4:R$195),2,IF(Data!R90&lt;=QUARTILE(Data!R$4:R$195,3),3,4)))</f>
        <v>1</v>
      </c>
      <c r="S90" s="19">
        <f>IF(Data!S90&lt;=QUARTILE(Data!S$4:S$195,1),1,IF(Data!S90&lt;=MEDIAN(Data!S$4:S$195),2,IF(Data!S90&lt;=QUARTILE(Data!S$4:S$195,3),3,4)))</f>
        <v>3</v>
      </c>
      <c r="T90" s="19">
        <f>IF(Data!T90&lt;=QUARTILE(Data!T$4:T$195,1),1,IF(Data!T90&lt;=MEDIAN(Data!T$4:T$195),2,IF(Data!T90&lt;=QUARTILE(Data!T$4:T$195,3),3,4)))</f>
        <v>3</v>
      </c>
      <c r="U90" s="14">
        <f>IF(Data!U90&lt;=QUARTILE(Data!U$4:U$195,1),1,IF(Data!U90&lt;=MEDIAN(Data!U$4:U$195),2,IF(Data!U90&lt;=QUARTILE(Data!U$4:U$195,3),3,4)))</f>
        <v>4</v>
      </c>
      <c r="V90" s="19">
        <f>IF(Data!V90&lt;=QUARTILE(Data!V$4:V$195,1),1,IF(Data!V90&lt;=MEDIAN(Data!V$4:V$195),2,IF(Data!V90&lt;=QUARTILE(Data!V$4:V$195,3),3,4)))</f>
        <v>4</v>
      </c>
      <c r="W90" s="19">
        <f>IF(Data!W90&lt;=QUARTILE(Data!W$4:W$195,1),1,IF(Data!W90&lt;=MEDIAN(Data!W$4:W$195),2,IF(Data!W90&lt;=QUARTILE(Data!W$4:W$195,3),3,4)))</f>
        <v>2</v>
      </c>
      <c r="X90" s="15">
        <f>IF(Data!X90&lt;=QUARTILE(Data!X$4:X$195,1),1,IF(Data!X90&lt;=MEDIAN(Data!X$4:X$195),2,IF(Data!X90&lt;=QUARTILE(Data!X$4:X$195,3),3,4)))</f>
        <v>4</v>
      </c>
      <c r="Y90" s="14">
        <f>IF(Data!Y90&lt;=QUARTILE(Data!Y$4:Y$195,1),1,IF(Data!Y90&lt;=MEDIAN(Data!Y$4:Y$195),2,IF(Data!Y90&lt;=QUARTILE(Data!Y$4:Y$195,3),3,4)))</f>
        <v>4</v>
      </c>
      <c r="Z90" s="22">
        <f>IF(Data!Z90&lt;=QUARTILE(Data!Z$4:Z$195,1),1,IF(Data!Z90&lt;=MEDIAN(Data!Z$4:Z$195),2,IF(Data!Z90&lt;=QUARTILE(Data!Z$4:Z$195,3),3,4)))</f>
        <v>4</v>
      </c>
      <c r="AA90" s="14">
        <f>IF(Data!AA90&lt;=QUARTILE(Data!AA$4:AA$195,1),1,IF(Data!AA90&lt;=MEDIAN(Data!AA$4:AA$195),2,IF(Data!AA90&lt;=QUARTILE(Data!AA$4:AA$195,3),3,4)))</f>
        <v>3</v>
      </c>
      <c r="AB90" s="15">
        <f>IF(Data!AB90&lt;=QUARTILE(Data!AB$4:AB$195,1),1,IF(Data!AB90&lt;=MEDIAN(Data!AB$4:AB$195),2,IF(Data!AB90&lt;=QUARTILE(Data!AB$4:AB$195,3),3,4)))</f>
        <v>1</v>
      </c>
      <c r="AC90" s="14">
        <f>IF(Data!AC90&lt;=QUARTILE(Data!AC$4:AC$195,1),1,IF(Data!AC90&lt;=MEDIAN(Data!AC$4:AC$195),2,IF(Data!AC90&lt;=QUARTILE(Data!AC$4:AC$195,3),3,4)))</f>
        <v>4</v>
      </c>
      <c r="AD90" s="19">
        <f>IF(Data!AD90&lt;=QUARTILE(Data!AD$4:AD$195,1),1,IF(Data!AD90&lt;=MEDIAN(Data!AD$4:AD$195),2,IF(Data!AD90&lt;=QUARTILE(Data!AD$4:AD$195,3),3,4)))</f>
        <v>4</v>
      </c>
      <c r="AE90" s="14">
        <f>IF(Data!AE90&lt;=QUARTILE(Data!AE$4:AE$195,1),1,IF(Data!AE90&lt;=MEDIAN(Data!AE$4:AE$195),2,IF(Data!AE90&lt;=QUARTILE(Data!AE$4:AE$195,3),3,4)))</f>
        <v>1</v>
      </c>
      <c r="AF90" s="19">
        <f>IF(Data!AF90&lt;=QUARTILE(Data!AF$4:AF$195,1),1,IF(Data!AF90&lt;=MEDIAN(Data!AF$4:AF$195),2,IF(Data!AF90&lt;=QUARTILE(Data!AF$4:AF$195,3),3,4)))</f>
        <v>1</v>
      </c>
      <c r="AG90" s="19">
        <f>IF(Data!AG90&lt;=QUARTILE(Data!AG$4:AG$195,1),1,IF(Data!AG90&lt;=MEDIAN(Data!AG$4:AG$195),2,IF(Data!AG90&lt;=QUARTILE(Data!AG$4:AG$195,3),3,4)))</f>
        <v>4</v>
      </c>
      <c r="AH90" s="15">
        <f>IF(Data!AH90&lt;=QUARTILE(Data!AH$4:AH$195,1),1,IF(Data!AH90&lt;=MEDIAN(Data!AH$4:AH$195),2,IF(Data!AH90&lt;=QUARTILE(Data!AH$4:AH$195,3),3,4)))</f>
        <v>4</v>
      </c>
      <c r="AI90" s="14">
        <f>IF(Data!AI90&lt;=QUARTILE(Data!AI$4:AI$195,1),1,IF(Data!AI90&lt;=MEDIAN(Data!AI$4:AI$195),2,IF(Data!AI90&lt;=QUARTILE(Data!AI$4:AI$195,3),3,4)))</f>
        <v>2</v>
      </c>
      <c r="AJ90" s="15">
        <f>IF(Data!AJ90&lt;=QUARTILE(Data!AJ$4:AJ$195,1),1,IF(Data!AJ90&lt;=MEDIAN(Data!AJ$4:AJ$195),2,IF(Data!AJ90&lt;=QUARTILE(Data!AJ$4:AJ$195,3),3,4)))</f>
        <v>4</v>
      </c>
      <c r="AK90" s="14">
        <f>IF(Data!AK90&lt;=QUARTILE(Data!AK$4:AK$195,1),1,IF(Data!AK90&lt;=MEDIAN(Data!AK$4:AK$195),2,IF(Data!AK90&lt;=QUARTILE(Data!AK$4:AK$195,3),3,4)))</f>
        <v>4</v>
      </c>
      <c r="AL90" s="19">
        <f>IF(Data!AL90&lt;=QUARTILE(Data!AL$4:AL$195,1),1,IF(Data!AL90&lt;=MEDIAN(Data!AL$4:AL$195),2,IF(Data!AL90&lt;=QUARTILE(Data!AL$4:AL$195,3),3,4)))</f>
        <v>3</v>
      </c>
      <c r="AM90" s="19">
        <f>IF(Data!AM90&lt;=QUARTILE(Data!AM$4:AM$195,1),1,IF(Data!AM90&lt;=MEDIAN(Data!AM$4:AM$195),2,IF(Data!AM90&lt;=QUARTILE(Data!AM$4:AM$195,3),3,4)))</f>
        <v>1</v>
      </c>
      <c r="AN90" s="15">
        <f>IF(Data!AN90&lt;=QUARTILE(Data!AN$4:AN$195,1),1,IF(Data!AN90&lt;=MEDIAN(Data!AN$4:AN$195),2,IF(Data!AN90&lt;=QUARTILE(Data!AN$4:AN$195,3),3,4)))</f>
        <v>2</v>
      </c>
      <c r="AO90" s="14">
        <f>IF(Data!AO90&lt;=QUARTILE(Data!AO$4:AO$195,1),1,IF(Data!AO90&lt;=MEDIAN(Data!AO$4:AO$195),2,IF(Data!AO90&lt;=QUARTILE(Data!AO$4:AO$195,3),3,4)))</f>
        <v>1</v>
      </c>
      <c r="AP90" s="19">
        <f>IF(Data!AP90&lt;=QUARTILE(Data!AP$4:AP$195,1),1,IF(Data!AP90&lt;=MEDIAN(Data!AP$4:AP$195),2,IF(Data!AP90&lt;=QUARTILE(Data!AP$4:AP$195,3),3,4)))</f>
        <v>1</v>
      </c>
      <c r="AQ90" s="19">
        <f>IF(Data!AQ90&lt;=QUARTILE(Data!AQ$4:AQ$195,1),1,IF(Data!AQ90&lt;=MEDIAN(Data!AQ$4:AQ$195),2,IF(Data!AQ90&lt;=QUARTILE(Data!AQ$4:AQ$195,3),3,4)))</f>
        <v>2</v>
      </c>
      <c r="AR90" s="19">
        <f>IF(Data!AR90&lt;=QUARTILE(Data!AR$4:AR$195,1),1,IF(Data!AR90&lt;=MEDIAN(Data!AR$4:AR$195),2,IF(Data!AR90&lt;=QUARTILE(Data!AR$4:AR$195,3),3,4)))</f>
        <v>1</v>
      </c>
      <c r="AS90" s="19">
        <f>IF(Data!AS90&lt;=QUARTILE(Data!AS$4:AS$195,1),1,IF(Data!AS90&lt;=MEDIAN(Data!AS$4:AS$195),2,IF(Data!AS90&lt;=QUARTILE(Data!AS$4:AS$195,3),3,4)))</f>
        <v>1</v>
      </c>
      <c r="AT90" s="19">
        <f>IF(Data!AT90&lt;=QUARTILE(Data!AT$4:AT$195,1),1,IF(Data!AT90&lt;=MEDIAN(Data!AT$4:AT$195),2,IF(Data!AT90&lt;=QUARTILE(Data!AT$4:AT$195,3),3,4)))</f>
        <v>1</v>
      </c>
      <c r="AU90" s="19">
        <f>IF(Data!AU90&lt;=QUARTILE(Data!AU$4:AU$195,1),1,IF(Data!AU90&lt;=MEDIAN(Data!AU$4:AU$195),2,IF(Data!AU90&lt;=QUARTILE(Data!AU$4:AU$195,3),3,4)))</f>
        <v>1</v>
      </c>
      <c r="AV90" s="14">
        <f>IF(Data!AV90&lt;=QUARTILE(Data!AV$4:AV$195,1),1,IF(Data!AV90&lt;=MEDIAN(Data!AV$4:AV$195),2,IF(Data!AV90&lt;=QUARTILE(Data!AV$4:AV$195,3),3,4)))</f>
        <v>4</v>
      </c>
      <c r="AW90" s="19">
        <f>IF(Data!AW90&lt;=QUARTILE(Data!AW$4:AW$195,1),1,IF(Data!AW90&lt;=MEDIAN(Data!AW$4:AW$195),2,IF(Data!AW90&lt;=QUARTILE(Data!AW$4:AW$195,3),3,4)))</f>
        <v>4</v>
      </c>
      <c r="AX90" s="19">
        <f>IF(Data!AX90&lt;=QUARTILE(Data!AX$4:AX$195,1),1,IF(Data!AX90&lt;=MEDIAN(Data!AX$4:AX$195),2,IF(Data!AX90&lt;=QUARTILE(Data!AX$4:AX$195,3),3,4)))</f>
        <v>4</v>
      </c>
      <c r="AY90" s="15">
        <f>IF(Data!AY90&lt;=QUARTILE(Data!AY$4:AY$195,1),1,IF(Data!AY90&lt;=MEDIAN(Data!AY$4:AY$195),2,IF(Data!AY90&lt;=QUARTILE(Data!AY$4:AY$195,3),3,4)))</f>
        <v>4</v>
      </c>
      <c r="AZ90" s="14">
        <f>IF(Data!AZ90&lt;=QUARTILE(Data!AZ$4:AZ$195,1),1,IF(Data!AZ90&lt;=MEDIAN(Data!AZ$4:AZ$195),2,IF(Data!AZ90&lt;=QUARTILE(Data!AZ$4:AZ$195,3),3,4)))</f>
        <v>3</v>
      </c>
      <c r="BA90" s="15">
        <f>IF(Data!BA90&lt;=QUARTILE(Data!BA$4:BA$195,1),1,IF(Data!BA90&lt;=MEDIAN(Data!BA$4:BA$195),2,IF(Data!BA90&lt;=QUARTILE(Data!BA$4:BA$195,3),3,4)))</f>
        <v>1</v>
      </c>
    </row>
    <row r="91" spans="1:53" x14ac:dyDescent="0.25">
      <c r="A91" s="4" t="s">
        <v>20</v>
      </c>
      <c r="B91" s="40">
        <v>2007</v>
      </c>
      <c r="C91" s="14">
        <v>8</v>
      </c>
      <c r="D91" s="19">
        <v>8</v>
      </c>
      <c r="E91" s="74" t="s">
        <v>96</v>
      </c>
      <c r="F91" s="19">
        <v>5.3</v>
      </c>
      <c r="G91" s="19">
        <v>0.1</v>
      </c>
      <c r="H91" s="15">
        <v>5.0999999999999996</v>
      </c>
      <c r="I91" s="14">
        <f>IF(Data!I91&lt;=QUARTILE(Data!I$4:I$195,1),1,IF(Data!I91&lt;=MEDIAN(Data!I$4:I$195),2,IF(Data!I91&lt;=QUARTILE(Data!I$4:I$195,3),3,4)))</f>
        <v>2</v>
      </c>
      <c r="J91" s="19">
        <f>IF(Data!J91&lt;=QUARTILE(Data!J$4:J$195,1),1,IF(Data!J91&lt;=MEDIAN(Data!J$4:J$195),2,IF(Data!J91&lt;=QUARTILE(Data!J$4:J$195,3),3,4)))</f>
        <v>4</v>
      </c>
      <c r="K91" s="19">
        <f>IF(Data!K91&lt;=QUARTILE(Data!K$4:K$195,1),1,IF(Data!K91&lt;=MEDIAN(Data!K$4:K$195),2,IF(Data!K91&lt;=QUARTILE(Data!K$4:K$195,3),3,4)))</f>
        <v>4</v>
      </c>
      <c r="L91" s="15">
        <f>IF(Data!L91&lt;=QUARTILE(Data!L$4:L$195,1),1,IF(Data!L91&lt;=MEDIAN(Data!L$4:L$195),2,IF(Data!L91&lt;=QUARTILE(Data!L$4:L$195,3),3,4)))</f>
        <v>4</v>
      </c>
      <c r="M91" s="14">
        <f>IF(Data!M91&lt;=QUARTILE(Data!M$4:M$195,1),1,IF(Data!M91&lt;=MEDIAN(Data!M$4:M$195),2,IF(Data!M91&lt;=QUARTILE(Data!M$4:M$195,3),3,4)))</f>
        <v>4</v>
      </c>
      <c r="N91" s="19">
        <f>IF(Data!N91&lt;=QUARTILE(Data!N$4:N$195,1),1,IF(Data!N91&lt;=MEDIAN(Data!N$4:N$195),2,IF(Data!N91&lt;=QUARTILE(Data!N$4:N$195,3),3,4)))</f>
        <v>4</v>
      </c>
      <c r="O91" s="19">
        <f>IF(Data!O91&lt;=QUARTILE(Data!O$4:O$195,1),1,IF(Data!O91&lt;=MEDIAN(Data!O$4:O$195),2,IF(Data!O91&lt;=QUARTILE(Data!O$4:O$195,3),3,4)))</f>
        <v>3</v>
      </c>
      <c r="P91" s="19">
        <f>IF(Data!P91&lt;=QUARTILE(Data!P$4:P$195,1),1,IF(Data!P91&lt;=MEDIAN(Data!P$4:P$195),2,IF(Data!P91&lt;=QUARTILE(Data!P$4:P$195,3),3,4)))</f>
        <v>3</v>
      </c>
      <c r="Q91" s="19">
        <f>IF(Data!Q91&lt;=QUARTILE(Data!Q$4:Q$195,1),1,IF(Data!Q91&lt;=MEDIAN(Data!Q$4:Q$195),2,IF(Data!Q91&lt;=QUARTILE(Data!Q$4:Q$195,3),3,4)))</f>
        <v>3</v>
      </c>
      <c r="R91" s="19">
        <f>IF(Data!R91&lt;=QUARTILE(Data!R$4:R$195,1),1,IF(Data!R91&lt;=MEDIAN(Data!R$4:R$195),2,IF(Data!R91&lt;=QUARTILE(Data!R$4:R$195,3),3,4)))</f>
        <v>3</v>
      </c>
      <c r="S91" s="19">
        <f>IF(Data!S91&lt;=QUARTILE(Data!S$4:S$195,1),1,IF(Data!S91&lt;=MEDIAN(Data!S$4:S$195),2,IF(Data!S91&lt;=QUARTILE(Data!S$4:S$195,3),3,4)))</f>
        <v>4</v>
      </c>
      <c r="T91" s="19">
        <f>IF(Data!T91&lt;=QUARTILE(Data!T$4:T$195,1),1,IF(Data!T91&lt;=MEDIAN(Data!T$4:T$195),2,IF(Data!T91&lt;=QUARTILE(Data!T$4:T$195,3),3,4)))</f>
        <v>3</v>
      </c>
      <c r="U91" s="14">
        <f>IF(Data!U91&lt;=QUARTILE(Data!U$4:U$195,1),1,IF(Data!U91&lt;=MEDIAN(Data!U$4:U$195),2,IF(Data!U91&lt;=QUARTILE(Data!U$4:U$195,3),3,4)))</f>
        <v>2</v>
      </c>
      <c r="V91" s="19">
        <f>IF(Data!V91&lt;=QUARTILE(Data!V$4:V$195,1),1,IF(Data!V91&lt;=MEDIAN(Data!V$4:V$195),2,IF(Data!V91&lt;=QUARTILE(Data!V$4:V$195,3),3,4)))</f>
        <v>3</v>
      </c>
      <c r="W91" s="19">
        <f>IF(Data!W91&lt;=QUARTILE(Data!W$4:W$195,1),1,IF(Data!W91&lt;=MEDIAN(Data!W$4:W$195),2,IF(Data!W91&lt;=QUARTILE(Data!W$4:W$195,3),3,4)))</f>
        <v>2</v>
      </c>
      <c r="X91" s="15">
        <f>IF(Data!X91&lt;=QUARTILE(Data!X$4:X$195,1),1,IF(Data!X91&lt;=MEDIAN(Data!X$4:X$195),2,IF(Data!X91&lt;=QUARTILE(Data!X$4:X$195,3),3,4)))</f>
        <v>4</v>
      </c>
      <c r="Y91" s="14">
        <f>IF(Data!Y91&lt;=QUARTILE(Data!Y$4:Y$195,1),1,IF(Data!Y91&lt;=MEDIAN(Data!Y$4:Y$195),2,IF(Data!Y91&lt;=QUARTILE(Data!Y$4:Y$195,3),3,4)))</f>
        <v>2</v>
      </c>
      <c r="Z91" s="22">
        <f>IF(Data!Z91&lt;=QUARTILE(Data!Z$4:Z$195,1),1,IF(Data!Z91&lt;=MEDIAN(Data!Z$4:Z$195),2,IF(Data!Z91&lt;=QUARTILE(Data!Z$4:Z$195,3),3,4)))</f>
        <v>2</v>
      </c>
      <c r="AA91" s="14">
        <f>IF(Data!AA91&lt;=QUARTILE(Data!AA$4:AA$195,1),1,IF(Data!AA91&lt;=MEDIAN(Data!AA$4:AA$195),2,IF(Data!AA91&lt;=QUARTILE(Data!AA$4:AA$195,3),3,4)))</f>
        <v>3</v>
      </c>
      <c r="AB91" s="15">
        <f>IF(Data!AB91&lt;=QUARTILE(Data!AB$4:AB$195,1),1,IF(Data!AB91&lt;=MEDIAN(Data!AB$4:AB$195),2,IF(Data!AB91&lt;=QUARTILE(Data!AB$4:AB$195,3),3,4)))</f>
        <v>3</v>
      </c>
      <c r="AC91" s="14">
        <f>IF(Data!AC91&lt;=QUARTILE(Data!AC$4:AC$195,1),1,IF(Data!AC91&lt;=MEDIAN(Data!AC$4:AC$195),2,IF(Data!AC91&lt;=QUARTILE(Data!AC$4:AC$195,3),3,4)))</f>
        <v>3</v>
      </c>
      <c r="AD91" s="19">
        <f>IF(Data!AD91&lt;=QUARTILE(Data!AD$4:AD$195,1),1,IF(Data!AD91&lt;=MEDIAN(Data!AD$4:AD$195),2,IF(Data!AD91&lt;=QUARTILE(Data!AD$4:AD$195,3),3,4)))</f>
        <v>3</v>
      </c>
      <c r="AE91" s="14">
        <f>IF(Data!AE91&lt;=QUARTILE(Data!AE$4:AE$195,1),1,IF(Data!AE91&lt;=MEDIAN(Data!AE$4:AE$195),2,IF(Data!AE91&lt;=QUARTILE(Data!AE$4:AE$195,3),3,4)))</f>
        <v>4</v>
      </c>
      <c r="AF91" s="19">
        <f>IF(Data!AF91&lt;=QUARTILE(Data!AF$4:AF$195,1),1,IF(Data!AF91&lt;=MEDIAN(Data!AF$4:AF$195),2,IF(Data!AF91&lt;=QUARTILE(Data!AF$4:AF$195,3),3,4)))</f>
        <v>4</v>
      </c>
      <c r="AG91" s="19">
        <f>IF(Data!AG91&lt;=QUARTILE(Data!AG$4:AG$195,1),1,IF(Data!AG91&lt;=MEDIAN(Data!AG$4:AG$195),2,IF(Data!AG91&lt;=QUARTILE(Data!AG$4:AG$195,3),3,4)))</f>
        <v>2</v>
      </c>
      <c r="AH91" s="15">
        <f>IF(Data!AH91&lt;=QUARTILE(Data!AH$4:AH$195,1),1,IF(Data!AH91&lt;=MEDIAN(Data!AH$4:AH$195),2,IF(Data!AH91&lt;=QUARTILE(Data!AH$4:AH$195,3),3,4)))</f>
        <v>1</v>
      </c>
      <c r="AI91" s="14">
        <f>IF(Data!AI91&lt;=QUARTILE(Data!AI$4:AI$195,1),1,IF(Data!AI91&lt;=MEDIAN(Data!AI$4:AI$195),2,IF(Data!AI91&lt;=QUARTILE(Data!AI$4:AI$195,3),3,4)))</f>
        <v>2</v>
      </c>
      <c r="AJ91" s="15">
        <f>IF(Data!AJ91&lt;=QUARTILE(Data!AJ$4:AJ$195,1),1,IF(Data!AJ91&lt;=MEDIAN(Data!AJ$4:AJ$195),2,IF(Data!AJ91&lt;=QUARTILE(Data!AJ$4:AJ$195,3),3,4)))</f>
        <v>2</v>
      </c>
      <c r="AK91" s="14">
        <f>IF(Data!AK91&lt;=QUARTILE(Data!AK$4:AK$195,1),1,IF(Data!AK91&lt;=MEDIAN(Data!AK$4:AK$195),2,IF(Data!AK91&lt;=QUARTILE(Data!AK$4:AK$195,3),3,4)))</f>
        <v>1</v>
      </c>
      <c r="AL91" s="19">
        <f>IF(Data!AL91&lt;=QUARTILE(Data!AL$4:AL$195,1),1,IF(Data!AL91&lt;=MEDIAN(Data!AL$4:AL$195),2,IF(Data!AL91&lt;=QUARTILE(Data!AL$4:AL$195,3),3,4)))</f>
        <v>2</v>
      </c>
      <c r="AM91" s="19">
        <f>IF(Data!AM91&lt;=QUARTILE(Data!AM$4:AM$195,1),1,IF(Data!AM91&lt;=MEDIAN(Data!AM$4:AM$195),2,IF(Data!AM91&lt;=QUARTILE(Data!AM$4:AM$195,3),3,4)))</f>
        <v>2</v>
      </c>
      <c r="AN91" s="15">
        <f>IF(Data!AN91&lt;=QUARTILE(Data!AN$4:AN$195,1),1,IF(Data!AN91&lt;=MEDIAN(Data!AN$4:AN$195),2,IF(Data!AN91&lt;=QUARTILE(Data!AN$4:AN$195,3),3,4)))</f>
        <v>2</v>
      </c>
      <c r="AO91" s="14">
        <f>IF(Data!AO91&lt;=QUARTILE(Data!AO$4:AO$195,1),1,IF(Data!AO91&lt;=MEDIAN(Data!AO$4:AO$195),2,IF(Data!AO91&lt;=QUARTILE(Data!AO$4:AO$195,3),3,4)))</f>
        <v>2</v>
      </c>
      <c r="AP91" s="19">
        <f>IF(Data!AP91&lt;=QUARTILE(Data!AP$4:AP$195,1),1,IF(Data!AP91&lt;=MEDIAN(Data!AP$4:AP$195),2,IF(Data!AP91&lt;=QUARTILE(Data!AP$4:AP$195,3),3,4)))</f>
        <v>3</v>
      </c>
      <c r="AQ91" s="19">
        <f>IF(Data!AQ91&lt;=QUARTILE(Data!AQ$4:AQ$195,1),1,IF(Data!AQ91&lt;=MEDIAN(Data!AQ$4:AQ$195),2,IF(Data!AQ91&lt;=QUARTILE(Data!AQ$4:AQ$195,3),3,4)))</f>
        <v>3</v>
      </c>
      <c r="AR91" s="19">
        <f>IF(Data!AR91&lt;=QUARTILE(Data!AR$4:AR$195,1),1,IF(Data!AR91&lt;=MEDIAN(Data!AR$4:AR$195),2,IF(Data!AR91&lt;=QUARTILE(Data!AR$4:AR$195,3),3,4)))</f>
        <v>1</v>
      </c>
      <c r="AS91" s="19">
        <f>IF(Data!AS91&lt;=QUARTILE(Data!AS$4:AS$195,1),1,IF(Data!AS91&lt;=MEDIAN(Data!AS$4:AS$195),2,IF(Data!AS91&lt;=QUARTILE(Data!AS$4:AS$195,3),3,4)))</f>
        <v>3</v>
      </c>
      <c r="AT91" s="19">
        <f>IF(Data!AT91&lt;=QUARTILE(Data!AT$4:AT$195,1),1,IF(Data!AT91&lt;=MEDIAN(Data!AT$4:AT$195),2,IF(Data!AT91&lt;=QUARTILE(Data!AT$4:AT$195,3),3,4)))</f>
        <v>3</v>
      </c>
      <c r="AU91" s="19">
        <f>IF(Data!AU91&lt;=QUARTILE(Data!AU$4:AU$195,1),1,IF(Data!AU91&lt;=MEDIAN(Data!AU$4:AU$195),2,IF(Data!AU91&lt;=QUARTILE(Data!AU$4:AU$195,3),3,4)))</f>
        <v>3</v>
      </c>
      <c r="AV91" s="14">
        <f>IF(Data!AV91&lt;=QUARTILE(Data!AV$4:AV$195,1),1,IF(Data!AV91&lt;=MEDIAN(Data!AV$4:AV$195),2,IF(Data!AV91&lt;=QUARTILE(Data!AV$4:AV$195,3),3,4)))</f>
        <v>1</v>
      </c>
      <c r="AW91" s="19">
        <f>IF(Data!AW91&lt;=QUARTILE(Data!AW$4:AW$195,1),1,IF(Data!AW91&lt;=MEDIAN(Data!AW$4:AW$195),2,IF(Data!AW91&lt;=QUARTILE(Data!AW$4:AW$195,3),3,4)))</f>
        <v>1</v>
      </c>
      <c r="AX91" s="19">
        <f>IF(Data!AX91&lt;=QUARTILE(Data!AX$4:AX$195,1),1,IF(Data!AX91&lt;=MEDIAN(Data!AX$4:AX$195),2,IF(Data!AX91&lt;=QUARTILE(Data!AX$4:AX$195,3),3,4)))</f>
        <v>1</v>
      </c>
      <c r="AY91" s="15">
        <f>IF(Data!AY91&lt;=QUARTILE(Data!AY$4:AY$195,1),1,IF(Data!AY91&lt;=MEDIAN(Data!AY$4:AY$195),2,IF(Data!AY91&lt;=QUARTILE(Data!AY$4:AY$195,3),3,4)))</f>
        <v>1</v>
      </c>
      <c r="AZ91" s="14">
        <f>IF(Data!AZ91&lt;=QUARTILE(Data!AZ$4:AZ$195,1),1,IF(Data!AZ91&lt;=MEDIAN(Data!AZ$4:AZ$195),2,IF(Data!AZ91&lt;=QUARTILE(Data!AZ$4:AZ$195,3),3,4)))</f>
        <v>1</v>
      </c>
      <c r="BA91" s="15">
        <f>IF(Data!BA91&lt;=QUARTILE(Data!BA$4:BA$195,1),1,IF(Data!BA91&lt;=MEDIAN(Data!BA$4:BA$195),2,IF(Data!BA91&lt;=QUARTILE(Data!BA$4:BA$195,3),3,4)))</f>
        <v>1</v>
      </c>
    </row>
    <row r="92" spans="1:53" x14ac:dyDescent="0.25">
      <c r="A92" s="4" t="s">
        <v>9</v>
      </c>
      <c r="B92" s="40">
        <v>2007</v>
      </c>
      <c r="C92" s="14">
        <v>10</v>
      </c>
      <c r="D92" s="19">
        <v>6</v>
      </c>
      <c r="E92" s="74" t="s">
        <v>97</v>
      </c>
      <c r="F92" s="19">
        <v>5.2</v>
      </c>
      <c r="G92" s="19">
        <v>0.9</v>
      </c>
      <c r="H92" s="15">
        <v>4.3</v>
      </c>
      <c r="I92" s="14">
        <f>IF(Data!I92&lt;=QUARTILE(Data!I$4:I$195,1),1,IF(Data!I92&lt;=MEDIAN(Data!I$4:I$195),2,IF(Data!I92&lt;=QUARTILE(Data!I$4:I$195,3),3,4)))</f>
        <v>4</v>
      </c>
      <c r="J92" s="19">
        <f>IF(Data!J92&lt;=QUARTILE(Data!J$4:J$195,1),1,IF(Data!J92&lt;=MEDIAN(Data!J$4:J$195),2,IF(Data!J92&lt;=QUARTILE(Data!J$4:J$195,3),3,4)))</f>
        <v>3</v>
      </c>
      <c r="K92" s="19">
        <f>IF(Data!K92&lt;=QUARTILE(Data!K$4:K$195,1),1,IF(Data!K92&lt;=MEDIAN(Data!K$4:K$195),2,IF(Data!K92&lt;=QUARTILE(Data!K$4:K$195,3),3,4)))</f>
        <v>2</v>
      </c>
      <c r="L92" s="15">
        <f>IF(Data!L92&lt;=QUARTILE(Data!L$4:L$195,1),1,IF(Data!L92&lt;=MEDIAN(Data!L$4:L$195),2,IF(Data!L92&lt;=QUARTILE(Data!L$4:L$195,3),3,4)))</f>
        <v>3</v>
      </c>
      <c r="M92" s="14">
        <f>IF(Data!M92&lt;=QUARTILE(Data!M$4:M$195,1),1,IF(Data!M92&lt;=MEDIAN(Data!M$4:M$195),2,IF(Data!M92&lt;=QUARTILE(Data!M$4:M$195,3),3,4)))</f>
        <v>1</v>
      </c>
      <c r="N92" s="19">
        <f>IF(Data!N92&lt;=QUARTILE(Data!N$4:N$195,1),1,IF(Data!N92&lt;=MEDIAN(Data!N$4:N$195),2,IF(Data!N92&lt;=QUARTILE(Data!N$4:N$195,3),3,4)))</f>
        <v>1</v>
      </c>
      <c r="O92" s="19">
        <f>IF(Data!O92&lt;=QUARTILE(Data!O$4:O$195,1),1,IF(Data!O92&lt;=MEDIAN(Data!O$4:O$195),2,IF(Data!O92&lt;=QUARTILE(Data!O$4:O$195,3),3,4)))</f>
        <v>2</v>
      </c>
      <c r="P92" s="19">
        <f>IF(Data!P92&lt;=QUARTILE(Data!P$4:P$195,1),1,IF(Data!P92&lt;=MEDIAN(Data!P$4:P$195),2,IF(Data!P92&lt;=QUARTILE(Data!P$4:P$195,3),3,4)))</f>
        <v>4</v>
      </c>
      <c r="Q92" s="19">
        <f>IF(Data!Q92&lt;=QUARTILE(Data!Q$4:Q$195,1),1,IF(Data!Q92&lt;=MEDIAN(Data!Q$4:Q$195),2,IF(Data!Q92&lt;=QUARTILE(Data!Q$4:Q$195,3),3,4)))</f>
        <v>3</v>
      </c>
      <c r="R92" s="19">
        <f>IF(Data!R92&lt;=QUARTILE(Data!R$4:R$195,1),1,IF(Data!R92&lt;=MEDIAN(Data!R$4:R$195),2,IF(Data!R92&lt;=QUARTILE(Data!R$4:R$195,3),3,4)))</f>
        <v>4</v>
      </c>
      <c r="S92" s="19">
        <f>IF(Data!S92&lt;=QUARTILE(Data!S$4:S$195,1),1,IF(Data!S92&lt;=MEDIAN(Data!S$4:S$195),2,IF(Data!S92&lt;=QUARTILE(Data!S$4:S$195,3),3,4)))</f>
        <v>4</v>
      </c>
      <c r="T92" s="19">
        <f>IF(Data!T92&lt;=QUARTILE(Data!T$4:T$195,1),1,IF(Data!T92&lt;=MEDIAN(Data!T$4:T$195),2,IF(Data!T92&lt;=QUARTILE(Data!T$4:T$195,3),3,4)))</f>
        <v>4</v>
      </c>
      <c r="U92" s="14">
        <f>IF(Data!U92&lt;=QUARTILE(Data!U$4:U$195,1),1,IF(Data!U92&lt;=MEDIAN(Data!U$4:U$195),2,IF(Data!U92&lt;=QUARTILE(Data!U$4:U$195,3),3,4)))</f>
        <v>4</v>
      </c>
      <c r="V92" s="19">
        <f>IF(Data!V92&lt;=QUARTILE(Data!V$4:V$195,1),1,IF(Data!V92&lt;=MEDIAN(Data!V$4:V$195),2,IF(Data!V92&lt;=QUARTILE(Data!V$4:V$195,3),3,4)))</f>
        <v>4</v>
      </c>
      <c r="W92" s="19">
        <f>IF(Data!W92&lt;=QUARTILE(Data!W$4:W$195,1),1,IF(Data!W92&lt;=MEDIAN(Data!W$4:W$195),2,IF(Data!W92&lt;=QUARTILE(Data!W$4:W$195,3),3,4)))</f>
        <v>1</v>
      </c>
      <c r="X92" s="15">
        <f>IF(Data!X92&lt;=QUARTILE(Data!X$4:X$195,1),1,IF(Data!X92&lt;=MEDIAN(Data!X$4:X$195),2,IF(Data!X92&lt;=QUARTILE(Data!X$4:X$195,3),3,4)))</f>
        <v>3</v>
      </c>
      <c r="Y92" s="14">
        <f>IF(Data!Y92&lt;=QUARTILE(Data!Y$4:Y$195,1),1,IF(Data!Y92&lt;=MEDIAN(Data!Y$4:Y$195),2,IF(Data!Y92&lt;=QUARTILE(Data!Y$4:Y$195,3),3,4)))</f>
        <v>2</v>
      </c>
      <c r="Z92" s="22">
        <f>IF(Data!Z92&lt;=QUARTILE(Data!Z$4:Z$195,1),1,IF(Data!Z92&lt;=MEDIAN(Data!Z$4:Z$195),2,IF(Data!Z92&lt;=QUARTILE(Data!Z$4:Z$195,3),3,4)))</f>
        <v>1</v>
      </c>
      <c r="AA92" s="14">
        <f>IF(Data!AA92&lt;=QUARTILE(Data!AA$4:AA$195,1),1,IF(Data!AA92&lt;=MEDIAN(Data!AA$4:AA$195),2,IF(Data!AA92&lt;=QUARTILE(Data!AA$4:AA$195,3),3,4)))</f>
        <v>3</v>
      </c>
      <c r="AB92" s="15">
        <f>IF(Data!AB92&lt;=QUARTILE(Data!AB$4:AB$195,1),1,IF(Data!AB92&lt;=MEDIAN(Data!AB$4:AB$195),2,IF(Data!AB92&lt;=QUARTILE(Data!AB$4:AB$195,3),3,4)))</f>
        <v>2</v>
      </c>
      <c r="AC92" s="14">
        <f>IF(Data!AC92&lt;=QUARTILE(Data!AC$4:AC$195,1),1,IF(Data!AC92&lt;=MEDIAN(Data!AC$4:AC$195),2,IF(Data!AC92&lt;=QUARTILE(Data!AC$4:AC$195,3),3,4)))</f>
        <v>1</v>
      </c>
      <c r="AD92" s="19">
        <f>IF(Data!AD92&lt;=QUARTILE(Data!AD$4:AD$195,1),1,IF(Data!AD92&lt;=MEDIAN(Data!AD$4:AD$195),2,IF(Data!AD92&lt;=QUARTILE(Data!AD$4:AD$195,3),3,4)))</f>
        <v>1</v>
      </c>
      <c r="AE92" s="14">
        <f>IF(Data!AE92&lt;=QUARTILE(Data!AE$4:AE$195,1),1,IF(Data!AE92&lt;=MEDIAN(Data!AE$4:AE$195),2,IF(Data!AE92&lt;=QUARTILE(Data!AE$4:AE$195,3),3,4)))</f>
        <v>3</v>
      </c>
      <c r="AF92" s="19">
        <f>IF(Data!AF92&lt;=QUARTILE(Data!AF$4:AF$195,1),1,IF(Data!AF92&lt;=MEDIAN(Data!AF$4:AF$195),2,IF(Data!AF92&lt;=QUARTILE(Data!AF$4:AF$195,3),3,4)))</f>
        <v>3</v>
      </c>
      <c r="AG92" s="19">
        <f>IF(Data!AG92&lt;=QUARTILE(Data!AG$4:AG$195,1),1,IF(Data!AG92&lt;=MEDIAN(Data!AG$4:AG$195),2,IF(Data!AG92&lt;=QUARTILE(Data!AG$4:AG$195,3),3,4)))</f>
        <v>1</v>
      </c>
      <c r="AH92" s="15">
        <f>IF(Data!AH92&lt;=QUARTILE(Data!AH$4:AH$195,1),1,IF(Data!AH92&lt;=MEDIAN(Data!AH$4:AH$195),2,IF(Data!AH92&lt;=QUARTILE(Data!AH$4:AH$195,3),3,4)))</f>
        <v>1</v>
      </c>
      <c r="AI92" s="14">
        <f>IF(Data!AI92&lt;=QUARTILE(Data!AI$4:AI$195,1),1,IF(Data!AI92&lt;=MEDIAN(Data!AI$4:AI$195),2,IF(Data!AI92&lt;=QUARTILE(Data!AI$4:AI$195,3),3,4)))</f>
        <v>1</v>
      </c>
      <c r="AJ92" s="15">
        <f>IF(Data!AJ92&lt;=QUARTILE(Data!AJ$4:AJ$195,1),1,IF(Data!AJ92&lt;=MEDIAN(Data!AJ$4:AJ$195),2,IF(Data!AJ92&lt;=QUARTILE(Data!AJ$4:AJ$195,3),3,4)))</f>
        <v>2</v>
      </c>
      <c r="AK92" s="14">
        <f>IF(Data!AK92&lt;=QUARTILE(Data!AK$4:AK$195,1),1,IF(Data!AK92&lt;=MEDIAN(Data!AK$4:AK$195),2,IF(Data!AK92&lt;=QUARTILE(Data!AK$4:AK$195,3),3,4)))</f>
        <v>1</v>
      </c>
      <c r="AL92" s="19">
        <f>IF(Data!AL92&lt;=QUARTILE(Data!AL$4:AL$195,1),1,IF(Data!AL92&lt;=MEDIAN(Data!AL$4:AL$195),2,IF(Data!AL92&lt;=QUARTILE(Data!AL$4:AL$195,3),3,4)))</f>
        <v>1</v>
      </c>
      <c r="AM92" s="19">
        <f>IF(Data!AM92&lt;=QUARTILE(Data!AM$4:AM$195,1),1,IF(Data!AM92&lt;=MEDIAN(Data!AM$4:AM$195),2,IF(Data!AM92&lt;=QUARTILE(Data!AM$4:AM$195,3),3,4)))</f>
        <v>1</v>
      </c>
      <c r="AN92" s="15">
        <f>IF(Data!AN92&lt;=QUARTILE(Data!AN$4:AN$195,1),1,IF(Data!AN92&lt;=MEDIAN(Data!AN$4:AN$195),2,IF(Data!AN92&lt;=QUARTILE(Data!AN$4:AN$195,3),3,4)))</f>
        <v>1</v>
      </c>
      <c r="AO92" s="14">
        <f>IF(Data!AO92&lt;=QUARTILE(Data!AO$4:AO$195,1),1,IF(Data!AO92&lt;=MEDIAN(Data!AO$4:AO$195),2,IF(Data!AO92&lt;=QUARTILE(Data!AO$4:AO$195,3),3,4)))</f>
        <v>1</v>
      </c>
      <c r="AP92" s="19">
        <f>IF(Data!AP92&lt;=QUARTILE(Data!AP$4:AP$195,1),1,IF(Data!AP92&lt;=MEDIAN(Data!AP$4:AP$195),2,IF(Data!AP92&lt;=QUARTILE(Data!AP$4:AP$195,3),3,4)))</f>
        <v>3</v>
      </c>
      <c r="AQ92" s="19">
        <f>IF(Data!AQ92&lt;=QUARTILE(Data!AQ$4:AQ$195,1),1,IF(Data!AQ92&lt;=MEDIAN(Data!AQ$4:AQ$195),2,IF(Data!AQ92&lt;=QUARTILE(Data!AQ$4:AQ$195,3),3,4)))</f>
        <v>1</v>
      </c>
      <c r="AR92" s="19">
        <f>IF(Data!AR92&lt;=QUARTILE(Data!AR$4:AR$195,1),1,IF(Data!AR92&lt;=MEDIAN(Data!AR$4:AR$195),2,IF(Data!AR92&lt;=QUARTILE(Data!AR$4:AR$195,3),3,4)))</f>
        <v>3</v>
      </c>
      <c r="AS92" s="19">
        <f>IF(Data!AS92&lt;=QUARTILE(Data!AS$4:AS$195,1),1,IF(Data!AS92&lt;=MEDIAN(Data!AS$4:AS$195),2,IF(Data!AS92&lt;=QUARTILE(Data!AS$4:AS$195,3),3,4)))</f>
        <v>1</v>
      </c>
      <c r="AT92" s="19">
        <f>IF(Data!AT92&lt;=QUARTILE(Data!AT$4:AT$195,1),1,IF(Data!AT92&lt;=MEDIAN(Data!AT$4:AT$195),2,IF(Data!AT92&lt;=QUARTILE(Data!AT$4:AT$195,3),3,4)))</f>
        <v>3</v>
      </c>
      <c r="AU92" s="19">
        <f>IF(Data!AU92&lt;=QUARTILE(Data!AU$4:AU$195,1),1,IF(Data!AU92&lt;=MEDIAN(Data!AU$4:AU$195),2,IF(Data!AU92&lt;=QUARTILE(Data!AU$4:AU$195,3),3,4)))</f>
        <v>3</v>
      </c>
      <c r="AV92" s="14">
        <f>IF(Data!AV92&lt;=QUARTILE(Data!AV$4:AV$195,1),1,IF(Data!AV92&lt;=MEDIAN(Data!AV$4:AV$195),2,IF(Data!AV92&lt;=QUARTILE(Data!AV$4:AV$195,3),3,4)))</f>
        <v>1</v>
      </c>
      <c r="AW92" s="19">
        <f>IF(Data!AW92&lt;=QUARTILE(Data!AW$4:AW$195,1),1,IF(Data!AW92&lt;=MEDIAN(Data!AW$4:AW$195),2,IF(Data!AW92&lt;=QUARTILE(Data!AW$4:AW$195,3),3,4)))</f>
        <v>1</v>
      </c>
      <c r="AX92" s="19">
        <f>IF(Data!AX92&lt;=QUARTILE(Data!AX$4:AX$195,1),1,IF(Data!AX92&lt;=MEDIAN(Data!AX$4:AX$195),2,IF(Data!AX92&lt;=QUARTILE(Data!AX$4:AX$195,3),3,4)))</f>
        <v>1</v>
      </c>
      <c r="AY92" s="15">
        <f>IF(Data!AY92&lt;=QUARTILE(Data!AY$4:AY$195,1),1,IF(Data!AY92&lt;=MEDIAN(Data!AY$4:AY$195),2,IF(Data!AY92&lt;=QUARTILE(Data!AY$4:AY$195,3),3,4)))</f>
        <v>1</v>
      </c>
      <c r="AZ92" s="14">
        <f>IF(Data!AZ92&lt;=QUARTILE(Data!AZ$4:AZ$195,1),1,IF(Data!AZ92&lt;=MEDIAN(Data!AZ$4:AZ$195),2,IF(Data!AZ92&lt;=QUARTILE(Data!AZ$4:AZ$195,3),3,4)))</f>
        <v>1</v>
      </c>
      <c r="BA92" s="15">
        <f>IF(Data!BA92&lt;=QUARTILE(Data!BA$4:BA$195,1),1,IF(Data!BA92&lt;=MEDIAN(Data!BA$4:BA$195),2,IF(Data!BA92&lt;=QUARTILE(Data!BA$4:BA$195,3),3,4)))</f>
        <v>3</v>
      </c>
    </row>
    <row r="93" spans="1:53" x14ac:dyDescent="0.25">
      <c r="A93" s="4" t="s">
        <v>15</v>
      </c>
      <c r="B93" s="40">
        <v>2007</v>
      </c>
      <c r="C93" s="14">
        <v>11</v>
      </c>
      <c r="D93" s="19">
        <v>5</v>
      </c>
      <c r="E93" s="74" t="s">
        <v>97</v>
      </c>
      <c r="F93" s="19">
        <v>8.8000000000000007</v>
      </c>
      <c r="G93" s="19">
        <v>4.3</v>
      </c>
      <c r="H93" s="15">
        <v>4.5</v>
      </c>
      <c r="I93" s="14">
        <f>IF(Data!I93&lt;=QUARTILE(Data!I$4:I$195,1),1,IF(Data!I93&lt;=MEDIAN(Data!I$4:I$195),2,IF(Data!I93&lt;=QUARTILE(Data!I$4:I$195,3),3,4)))</f>
        <v>4</v>
      </c>
      <c r="J93" s="19">
        <f>IF(Data!J93&lt;=QUARTILE(Data!J$4:J$195,1),1,IF(Data!J93&lt;=MEDIAN(Data!J$4:J$195),2,IF(Data!J93&lt;=QUARTILE(Data!J$4:J$195,3),3,4)))</f>
        <v>2</v>
      </c>
      <c r="K93" s="19">
        <f>IF(Data!K93&lt;=QUARTILE(Data!K$4:K$195,1),1,IF(Data!K93&lt;=MEDIAN(Data!K$4:K$195),2,IF(Data!K93&lt;=QUARTILE(Data!K$4:K$195,3),3,4)))</f>
        <v>2</v>
      </c>
      <c r="L93" s="15">
        <f>IF(Data!L93&lt;=QUARTILE(Data!L$4:L$195,1),1,IF(Data!L93&lt;=MEDIAN(Data!L$4:L$195),2,IF(Data!L93&lt;=QUARTILE(Data!L$4:L$195,3),3,4)))</f>
        <v>2</v>
      </c>
      <c r="M93" s="14">
        <f>IF(Data!M93&lt;=QUARTILE(Data!M$4:M$195,1),1,IF(Data!M93&lt;=MEDIAN(Data!M$4:M$195),2,IF(Data!M93&lt;=QUARTILE(Data!M$4:M$195,3),3,4)))</f>
        <v>1</v>
      </c>
      <c r="N93" s="19">
        <f>IF(Data!N93&lt;=QUARTILE(Data!N$4:N$195,1),1,IF(Data!N93&lt;=MEDIAN(Data!N$4:N$195),2,IF(Data!N93&lt;=QUARTILE(Data!N$4:N$195,3),3,4)))</f>
        <v>1</v>
      </c>
      <c r="O93" s="19">
        <f>IF(Data!O93&lt;=QUARTILE(Data!O$4:O$195,1),1,IF(Data!O93&lt;=MEDIAN(Data!O$4:O$195),2,IF(Data!O93&lt;=QUARTILE(Data!O$4:O$195,3),3,4)))</f>
        <v>2</v>
      </c>
      <c r="P93" s="19">
        <f>IF(Data!P93&lt;=QUARTILE(Data!P$4:P$195,1),1,IF(Data!P93&lt;=MEDIAN(Data!P$4:P$195),2,IF(Data!P93&lt;=QUARTILE(Data!P$4:P$195,3),3,4)))</f>
        <v>3</v>
      </c>
      <c r="Q93" s="19">
        <f>IF(Data!Q93&lt;=QUARTILE(Data!Q$4:Q$195,1),1,IF(Data!Q93&lt;=MEDIAN(Data!Q$4:Q$195),2,IF(Data!Q93&lt;=QUARTILE(Data!Q$4:Q$195,3),3,4)))</f>
        <v>2</v>
      </c>
      <c r="R93" s="19">
        <f>IF(Data!R93&lt;=QUARTILE(Data!R$4:R$195,1),1,IF(Data!R93&lt;=MEDIAN(Data!R$4:R$195),2,IF(Data!R93&lt;=QUARTILE(Data!R$4:R$195,3),3,4)))</f>
        <v>2</v>
      </c>
      <c r="S93" s="19">
        <f>IF(Data!S93&lt;=QUARTILE(Data!S$4:S$195,1),1,IF(Data!S93&lt;=MEDIAN(Data!S$4:S$195),2,IF(Data!S93&lt;=QUARTILE(Data!S$4:S$195,3),3,4)))</f>
        <v>1</v>
      </c>
      <c r="T93" s="19">
        <f>IF(Data!T93&lt;=QUARTILE(Data!T$4:T$195,1),1,IF(Data!T93&lt;=MEDIAN(Data!T$4:T$195),2,IF(Data!T93&lt;=QUARTILE(Data!T$4:T$195,3),3,4)))</f>
        <v>2</v>
      </c>
      <c r="U93" s="14">
        <f>IF(Data!U93&lt;=QUARTILE(Data!U$4:U$195,1),1,IF(Data!U93&lt;=MEDIAN(Data!U$4:U$195),2,IF(Data!U93&lt;=QUARTILE(Data!U$4:U$195,3),3,4)))</f>
        <v>4</v>
      </c>
      <c r="V93" s="19">
        <f>IF(Data!V93&lt;=QUARTILE(Data!V$4:V$195,1),1,IF(Data!V93&lt;=MEDIAN(Data!V$4:V$195),2,IF(Data!V93&lt;=QUARTILE(Data!V$4:V$195,3),3,4)))</f>
        <v>3</v>
      </c>
      <c r="W93" s="19">
        <f>IF(Data!W93&lt;=QUARTILE(Data!W$4:W$195,1),1,IF(Data!W93&lt;=MEDIAN(Data!W$4:W$195),2,IF(Data!W93&lt;=QUARTILE(Data!W$4:W$195,3),3,4)))</f>
        <v>4</v>
      </c>
      <c r="X93" s="15">
        <f>IF(Data!X93&lt;=QUARTILE(Data!X$4:X$195,1),1,IF(Data!X93&lt;=MEDIAN(Data!X$4:X$195),2,IF(Data!X93&lt;=QUARTILE(Data!X$4:X$195,3),3,4)))</f>
        <v>3</v>
      </c>
      <c r="Y93" s="14">
        <f>IF(Data!Y93&lt;=QUARTILE(Data!Y$4:Y$195,1),1,IF(Data!Y93&lt;=MEDIAN(Data!Y$4:Y$195),2,IF(Data!Y93&lt;=QUARTILE(Data!Y$4:Y$195,3),3,4)))</f>
        <v>2</v>
      </c>
      <c r="Z93" s="22">
        <f>IF(Data!Z93&lt;=QUARTILE(Data!Z$4:Z$195,1),1,IF(Data!Z93&lt;=MEDIAN(Data!Z$4:Z$195),2,IF(Data!Z93&lt;=QUARTILE(Data!Z$4:Z$195,3),3,4)))</f>
        <v>1</v>
      </c>
      <c r="AA93" s="14">
        <f>IF(Data!AA93&lt;=QUARTILE(Data!AA$4:AA$195,1),1,IF(Data!AA93&lt;=MEDIAN(Data!AA$4:AA$195),2,IF(Data!AA93&lt;=QUARTILE(Data!AA$4:AA$195,3),3,4)))</f>
        <v>2</v>
      </c>
      <c r="AB93" s="15">
        <f>IF(Data!AB93&lt;=QUARTILE(Data!AB$4:AB$195,1),1,IF(Data!AB93&lt;=MEDIAN(Data!AB$4:AB$195),2,IF(Data!AB93&lt;=QUARTILE(Data!AB$4:AB$195,3),3,4)))</f>
        <v>2</v>
      </c>
      <c r="AC93" s="14">
        <f>IF(Data!AC93&lt;=QUARTILE(Data!AC$4:AC$195,1),1,IF(Data!AC93&lt;=MEDIAN(Data!AC$4:AC$195),2,IF(Data!AC93&lt;=QUARTILE(Data!AC$4:AC$195,3),3,4)))</f>
        <v>1</v>
      </c>
      <c r="AD93" s="19">
        <f>IF(Data!AD93&lt;=QUARTILE(Data!AD$4:AD$195,1),1,IF(Data!AD93&lt;=MEDIAN(Data!AD$4:AD$195),2,IF(Data!AD93&lt;=QUARTILE(Data!AD$4:AD$195,3),3,4)))</f>
        <v>1</v>
      </c>
      <c r="AE93" s="14">
        <f>IF(Data!AE93&lt;=QUARTILE(Data!AE$4:AE$195,1),1,IF(Data!AE93&lt;=MEDIAN(Data!AE$4:AE$195),2,IF(Data!AE93&lt;=QUARTILE(Data!AE$4:AE$195,3),3,4)))</f>
        <v>2</v>
      </c>
      <c r="AF93" s="19">
        <f>IF(Data!AF93&lt;=QUARTILE(Data!AF$4:AF$195,1),1,IF(Data!AF93&lt;=MEDIAN(Data!AF$4:AF$195),2,IF(Data!AF93&lt;=QUARTILE(Data!AF$4:AF$195,3),3,4)))</f>
        <v>2</v>
      </c>
      <c r="AG93" s="19">
        <f>IF(Data!AG93&lt;=QUARTILE(Data!AG$4:AG$195,1),1,IF(Data!AG93&lt;=MEDIAN(Data!AG$4:AG$195),2,IF(Data!AG93&lt;=QUARTILE(Data!AG$4:AG$195,3),3,4)))</f>
        <v>2</v>
      </c>
      <c r="AH93" s="15">
        <f>IF(Data!AH93&lt;=QUARTILE(Data!AH$4:AH$195,1),1,IF(Data!AH93&lt;=MEDIAN(Data!AH$4:AH$195),2,IF(Data!AH93&lt;=QUARTILE(Data!AH$4:AH$195,3),3,4)))</f>
        <v>2</v>
      </c>
      <c r="AI93" s="14">
        <f>IF(Data!AI93&lt;=QUARTILE(Data!AI$4:AI$195,1),1,IF(Data!AI93&lt;=MEDIAN(Data!AI$4:AI$195),2,IF(Data!AI93&lt;=QUARTILE(Data!AI$4:AI$195,3),3,4)))</f>
        <v>3</v>
      </c>
      <c r="AJ93" s="15">
        <f>IF(Data!AJ93&lt;=QUARTILE(Data!AJ$4:AJ$195,1),1,IF(Data!AJ93&lt;=MEDIAN(Data!AJ$4:AJ$195),2,IF(Data!AJ93&lt;=QUARTILE(Data!AJ$4:AJ$195,3),3,4)))</f>
        <v>4</v>
      </c>
      <c r="AK93" s="14">
        <f>IF(Data!AK93&lt;=QUARTILE(Data!AK$4:AK$195,1),1,IF(Data!AK93&lt;=MEDIAN(Data!AK$4:AK$195),2,IF(Data!AK93&lt;=QUARTILE(Data!AK$4:AK$195,3),3,4)))</f>
        <v>1</v>
      </c>
      <c r="AL93" s="19">
        <f>IF(Data!AL93&lt;=QUARTILE(Data!AL$4:AL$195,1),1,IF(Data!AL93&lt;=MEDIAN(Data!AL$4:AL$195),2,IF(Data!AL93&lt;=QUARTILE(Data!AL$4:AL$195,3),3,4)))</f>
        <v>2</v>
      </c>
      <c r="AM93" s="19">
        <f>IF(Data!AM93&lt;=QUARTILE(Data!AM$4:AM$195,1),1,IF(Data!AM93&lt;=MEDIAN(Data!AM$4:AM$195),2,IF(Data!AM93&lt;=QUARTILE(Data!AM$4:AM$195,3),3,4)))</f>
        <v>3</v>
      </c>
      <c r="AN93" s="15">
        <f>IF(Data!AN93&lt;=QUARTILE(Data!AN$4:AN$195,1),1,IF(Data!AN93&lt;=MEDIAN(Data!AN$4:AN$195),2,IF(Data!AN93&lt;=QUARTILE(Data!AN$4:AN$195,3),3,4)))</f>
        <v>2</v>
      </c>
      <c r="AO93" s="14">
        <f>IF(Data!AO93&lt;=QUARTILE(Data!AO$4:AO$195,1),1,IF(Data!AO93&lt;=MEDIAN(Data!AO$4:AO$195),2,IF(Data!AO93&lt;=QUARTILE(Data!AO$4:AO$195,3),3,4)))</f>
        <v>4</v>
      </c>
      <c r="AP93" s="19">
        <f>IF(Data!AP93&lt;=QUARTILE(Data!AP$4:AP$195,1),1,IF(Data!AP93&lt;=MEDIAN(Data!AP$4:AP$195),2,IF(Data!AP93&lt;=QUARTILE(Data!AP$4:AP$195,3),3,4)))</f>
        <v>4</v>
      </c>
      <c r="AQ93" s="19">
        <f>IF(Data!AQ93&lt;=QUARTILE(Data!AQ$4:AQ$195,1),1,IF(Data!AQ93&lt;=MEDIAN(Data!AQ$4:AQ$195),2,IF(Data!AQ93&lt;=QUARTILE(Data!AQ$4:AQ$195,3),3,4)))</f>
        <v>3</v>
      </c>
      <c r="AR93" s="19">
        <f>IF(Data!AR93&lt;=QUARTILE(Data!AR$4:AR$195,1),1,IF(Data!AR93&lt;=MEDIAN(Data!AR$4:AR$195),2,IF(Data!AR93&lt;=QUARTILE(Data!AR$4:AR$195,3),3,4)))</f>
        <v>2</v>
      </c>
      <c r="AS93" s="19">
        <f>IF(Data!AS93&lt;=QUARTILE(Data!AS$4:AS$195,1),1,IF(Data!AS93&lt;=MEDIAN(Data!AS$4:AS$195),2,IF(Data!AS93&lt;=QUARTILE(Data!AS$4:AS$195,3),3,4)))</f>
        <v>3</v>
      </c>
      <c r="AT93" s="19">
        <f>IF(Data!AT93&lt;=QUARTILE(Data!AT$4:AT$195,1),1,IF(Data!AT93&lt;=MEDIAN(Data!AT$4:AT$195),2,IF(Data!AT93&lt;=QUARTILE(Data!AT$4:AT$195,3),3,4)))</f>
        <v>4</v>
      </c>
      <c r="AU93" s="19">
        <f>IF(Data!AU93&lt;=QUARTILE(Data!AU$4:AU$195,1),1,IF(Data!AU93&lt;=MEDIAN(Data!AU$4:AU$195),2,IF(Data!AU93&lt;=QUARTILE(Data!AU$4:AU$195,3),3,4)))</f>
        <v>4</v>
      </c>
      <c r="AV93" s="14">
        <f>IF(Data!AV93&lt;=QUARTILE(Data!AV$4:AV$195,1),1,IF(Data!AV93&lt;=MEDIAN(Data!AV$4:AV$195),2,IF(Data!AV93&lt;=QUARTILE(Data!AV$4:AV$195,3),3,4)))</f>
        <v>2</v>
      </c>
      <c r="AW93" s="19">
        <f>IF(Data!AW93&lt;=QUARTILE(Data!AW$4:AW$195,1),1,IF(Data!AW93&lt;=MEDIAN(Data!AW$4:AW$195),2,IF(Data!AW93&lt;=QUARTILE(Data!AW$4:AW$195,3),3,4)))</f>
        <v>2</v>
      </c>
      <c r="AX93" s="19">
        <f>IF(Data!AX93&lt;=QUARTILE(Data!AX$4:AX$195,1),1,IF(Data!AX93&lt;=MEDIAN(Data!AX$4:AX$195),2,IF(Data!AX93&lt;=QUARTILE(Data!AX$4:AX$195,3),3,4)))</f>
        <v>2</v>
      </c>
      <c r="AY93" s="15">
        <f>IF(Data!AY93&lt;=QUARTILE(Data!AY$4:AY$195,1),1,IF(Data!AY93&lt;=MEDIAN(Data!AY$4:AY$195),2,IF(Data!AY93&lt;=QUARTILE(Data!AY$4:AY$195,3),3,4)))</f>
        <v>2</v>
      </c>
      <c r="AZ93" s="14">
        <f>IF(Data!AZ93&lt;=QUARTILE(Data!AZ$4:AZ$195,1),1,IF(Data!AZ93&lt;=MEDIAN(Data!AZ$4:AZ$195),2,IF(Data!AZ93&lt;=QUARTILE(Data!AZ$4:AZ$195,3),3,4)))</f>
        <v>4</v>
      </c>
      <c r="BA93" s="15">
        <f>IF(Data!BA93&lt;=QUARTILE(Data!BA$4:BA$195,1),1,IF(Data!BA93&lt;=MEDIAN(Data!BA$4:BA$195),2,IF(Data!BA93&lt;=QUARTILE(Data!BA$4:BA$195,3),3,4)))</f>
        <v>4</v>
      </c>
    </row>
    <row r="94" spans="1:53" x14ac:dyDescent="0.25">
      <c r="A94" s="4" t="s">
        <v>32</v>
      </c>
      <c r="B94" s="40">
        <v>2007</v>
      </c>
      <c r="C94" s="14">
        <v>5</v>
      </c>
      <c r="D94" s="19">
        <v>11</v>
      </c>
      <c r="E94" s="74" t="s">
        <v>96</v>
      </c>
      <c r="F94" s="19">
        <v>-11.9</v>
      </c>
      <c r="G94" s="19">
        <v>-9.9</v>
      </c>
      <c r="H94" s="15">
        <v>-2</v>
      </c>
      <c r="I94" s="14">
        <f>IF(Data!I94&lt;=QUARTILE(Data!I$4:I$195,1),1,IF(Data!I94&lt;=MEDIAN(Data!I$4:I$195),2,IF(Data!I94&lt;=QUARTILE(Data!I$4:I$195,3),3,4)))</f>
        <v>1</v>
      </c>
      <c r="J94" s="19">
        <f>IF(Data!J94&lt;=QUARTILE(Data!J$4:J$195,1),1,IF(Data!J94&lt;=MEDIAN(Data!J$4:J$195),2,IF(Data!J94&lt;=QUARTILE(Data!J$4:J$195,3),3,4)))</f>
        <v>1</v>
      </c>
      <c r="K94" s="19">
        <f>IF(Data!K94&lt;=QUARTILE(Data!K$4:K$195,1),1,IF(Data!K94&lt;=MEDIAN(Data!K$4:K$195),2,IF(Data!K94&lt;=QUARTILE(Data!K$4:K$195,3),3,4)))</f>
        <v>1</v>
      </c>
      <c r="L94" s="15">
        <f>IF(Data!L94&lt;=QUARTILE(Data!L$4:L$195,1),1,IF(Data!L94&lt;=MEDIAN(Data!L$4:L$195),2,IF(Data!L94&lt;=QUARTILE(Data!L$4:L$195,3),3,4)))</f>
        <v>1</v>
      </c>
      <c r="M94" s="14">
        <f>IF(Data!M94&lt;=QUARTILE(Data!M$4:M$195,1),1,IF(Data!M94&lt;=MEDIAN(Data!M$4:M$195),2,IF(Data!M94&lt;=QUARTILE(Data!M$4:M$195,3),3,4)))</f>
        <v>1</v>
      </c>
      <c r="N94" s="19">
        <f>IF(Data!N94&lt;=QUARTILE(Data!N$4:N$195,1),1,IF(Data!N94&lt;=MEDIAN(Data!N$4:N$195),2,IF(Data!N94&lt;=QUARTILE(Data!N$4:N$195,3),3,4)))</f>
        <v>2</v>
      </c>
      <c r="O94" s="19">
        <f>IF(Data!O94&lt;=QUARTILE(Data!O$4:O$195,1),1,IF(Data!O94&lt;=MEDIAN(Data!O$4:O$195),2,IF(Data!O94&lt;=QUARTILE(Data!O$4:O$195,3),3,4)))</f>
        <v>1</v>
      </c>
      <c r="P94" s="19">
        <f>IF(Data!P94&lt;=QUARTILE(Data!P$4:P$195,1),1,IF(Data!P94&lt;=MEDIAN(Data!P$4:P$195),2,IF(Data!P94&lt;=QUARTILE(Data!P$4:P$195,3),3,4)))</f>
        <v>1</v>
      </c>
      <c r="Q94" s="19">
        <f>IF(Data!Q94&lt;=QUARTILE(Data!Q$4:Q$195,1),1,IF(Data!Q94&lt;=MEDIAN(Data!Q$4:Q$195),2,IF(Data!Q94&lt;=QUARTILE(Data!Q$4:Q$195,3),3,4)))</f>
        <v>1</v>
      </c>
      <c r="R94" s="19">
        <f>IF(Data!R94&lt;=QUARTILE(Data!R$4:R$195,1),1,IF(Data!R94&lt;=MEDIAN(Data!R$4:R$195),2,IF(Data!R94&lt;=QUARTILE(Data!R$4:R$195,3),3,4)))</f>
        <v>1</v>
      </c>
      <c r="S94" s="19">
        <f>IF(Data!S94&lt;=QUARTILE(Data!S$4:S$195,1),1,IF(Data!S94&lt;=MEDIAN(Data!S$4:S$195),2,IF(Data!S94&lt;=QUARTILE(Data!S$4:S$195,3),3,4)))</f>
        <v>4</v>
      </c>
      <c r="T94" s="19">
        <f>IF(Data!T94&lt;=QUARTILE(Data!T$4:T$195,1),1,IF(Data!T94&lt;=MEDIAN(Data!T$4:T$195),2,IF(Data!T94&lt;=QUARTILE(Data!T$4:T$195,3),3,4)))</f>
        <v>4</v>
      </c>
      <c r="U94" s="14">
        <f>IF(Data!U94&lt;=QUARTILE(Data!U$4:U$195,1),1,IF(Data!U94&lt;=MEDIAN(Data!U$4:U$195),2,IF(Data!U94&lt;=QUARTILE(Data!U$4:U$195,3),3,4)))</f>
        <v>1</v>
      </c>
      <c r="V94" s="19">
        <f>IF(Data!V94&lt;=QUARTILE(Data!V$4:V$195,1),1,IF(Data!V94&lt;=MEDIAN(Data!V$4:V$195),2,IF(Data!V94&lt;=QUARTILE(Data!V$4:V$195,3),3,4)))</f>
        <v>1</v>
      </c>
      <c r="W94" s="19">
        <f>IF(Data!W94&lt;=QUARTILE(Data!W$4:W$195,1),1,IF(Data!W94&lt;=MEDIAN(Data!W$4:W$195),2,IF(Data!W94&lt;=QUARTILE(Data!W$4:W$195,3),3,4)))</f>
        <v>1</v>
      </c>
      <c r="X94" s="15">
        <f>IF(Data!X94&lt;=QUARTILE(Data!X$4:X$195,1),1,IF(Data!X94&lt;=MEDIAN(Data!X$4:X$195),2,IF(Data!X94&lt;=QUARTILE(Data!X$4:X$195,3),3,4)))</f>
        <v>1</v>
      </c>
      <c r="Y94" s="14">
        <f>IF(Data!Y94&lt;=QUARTILE(Data!Y$4:Y$195,1),1,IF(Data!Y94&lt;=MEDIAN(Data!Y$4:Y$195),2,IF(Data!Y94&lt;=QUARTILE(Data!Y$4:Y$195,3),3,4)))</f>
        <v>3</v>
      </c>
      <c r="Z94" s="22">
        <f>IF(Data!Z94&lt;=QUARTILE(Data!Z$4:Z$195,1),1,IF(Data!Z94&lt;=MEDIAN(Data!Z$4:Z$195),2,IF(Data!Z94&lt;=QUARTILE(Data!Z$4:Z$195,3),3,4)))</f>
        <v>4</v>
      </c>
      <c r="AA94" s="14">
        <f>IF(Data!AA94&lt;=QUARTILE(Data!AA$4:AA$195,1),1,IF(Data!AA94&lt;=MEDIAN(Data!AA$4:AA$195),2,IF(Data!AA94&lt;=QUARTILE(Data!AA$4:AA$195,3),3,4)))</f>
        <v>4</v>
      </c>
      <c r="AB94" s="15">
        <f>IF(Data!AB94&lt;=QUARTILE(Data!AB$4:AB$195,1),1,IF(Data!AB94&lt;=MEDIAN(Data!AB$4:AB$195),2,IF(Data!AB94&lt;=QUARTILE(Data!AB$4:AB$195,3),3,4)))</f>
        <v>4</v>
      </c>
      <c r="AC94" s="14">
        <f>IF(Data!AC94&lt;=QUARTILE(Data!AC$4:AC$195,1),1,IF(Data!AC94&lt;=MEDIAN(Data!AC$4:AC$195),2,IF(Data!AC94&lt;=QUARTILE(Data!AC$4:AC$195,3),3,4)))</f>
        <v>3</v>
      </c>
      <c r="AD94" s="19">
        <f>IF(Data!AD94&lt;=QUARTILE(Data!AD$4:AD$195,1),1,IF(Data!AD94&lt;=MEDIAN(Data!AD$4:AD$195),2,IF(Data!AD94&lt;=QUARTILE(Data!AD$4:AD$195,3),3,4)))</f>
        <v>4</v>
      </c>
      <c r="AE94" s="14">
        <f>IF(Data!AE94&lt;=QUARTILE(Data!AE$4:AE$195,1),1,IF(Data!AE94&lt;=MEDIAN(Data!AE$4:AE$195),2,IF(Data!AE94&lt;=QUARTILE(Data!AE$4:AE$195,3),3,4)))</f>
        <v>1</v>
      </c>
      <c r="AF94" s="19">
        <f>IF(Data!AF94&lt;=QUARTILE(Data!AF$4:AF$195,1),1,IF(Data!AF94&lt;=MEDIAN(Data!AF$4:AF$195),2,IF(Data!AF94&lt;=QUARTILE(Data!AF$4:AF$195,3),3,4)))</f>
        <v>1</v>
      </c>
      <c r="AG94" s="19">
        <f>IF(Data!AG94&lt;=QUARTILE(Data!AG$4:AG$195,1),1,IF(Data!AG94&lt;=MEDIAN(Data!AG$4:AG$195),2,IF(Data!AG94&lt;=QUARTILE(Data!AG$4:AG$195,3),3,4)))</f>
        <v>1</v>
      </c>
      <c r="AH94" s="15">
        <f>IF(Data!AH94&lt;=QUARTILE(Data!AH$4:AH$195,1),1,IF(Data!AH94&lt;=MEDIAN(Data!AH$4:AH$195),2,IF(Data!AH94&lt;=QUARTILE(Data!AH$4:AH$195,3),3,4)))</f>
        <v>1</v>
      </c>
      <c r="AI94" s="14">
        <f>IF(Data!AI94&lt;=QUARTILE(Data!AI$4:AI$195,1),1,IF(Data!AI94&lt;=MEDIAN(Data!AI$4:AI$195),2,IF(Data!AI94&lt;=QUARTILE(Data!AI$4:AI$195,3),3,4)))</f>
        <v>4</v>
      </c>
      <c r="AJ94" s="15">
        <f>IF(Data!AJ94&lt;=QUARTILE(Data!AJ$4:AJ$195,1),1,IF(Data!AJ94&lt;=MEDIAN(Data!AJ$4:AJ$195),2,IF(Data!AJ94&lt;=QUARTILE(Data!AJ$4:AJ$195,3),3,4)))</f>
        <v>4</v>
      </c>
      <c r="AK94" s="14">
        <f>IF(Data!AK94&lt;=QUARTILE(Data!AK$4:AK$195,1),1,IF(Data!AK94&lt;=MEDIAN(Data!AK$4:AK$195),2,IF(Data!AK94&lt;=QUARTILE(Data!AK$4:AK$195,3),3,4)))</f>
        <v>3</v>
      </c>
      <c r="AL94" s="19">
        <f>IF(Data!AL94&lt;=QUARTILE(Data!AL$4:AL$195,1),1,IF(Data!AL94&lt;=MEDIAN(Data!AL$4:AL$195),2,IF(Data!AL94&lt;=QUARTILE(Data!AL$4:AL$195,3),3,4)))</f>
        <v>4</v>
      </c>
      <c r="AM94" s="19">
        <f>IF(Data!AM94&lt;=QUARTILE(Data!AM$4:AM$195,1),1,IF(Data!AM94&lt;=MEDIAN(Data!AM$4:AM$195),2,IF(Data!AM94&lt;=QUARTILE(Data!AM$4:AM$195,3),3,4)))</f>
        <v>4</v>
      </c>
      <c r="AN94" s="15">
        <f>IF(Data!AN94&lt;=QUARTILE(Data!AN$4:AN$195,1),1,IF(Data!AN94&lt;=MEDIAN(Data!AN$4:AN$195),2,IF(Data!AN94&lt;=QUARTILE(Data!AN$4:AN$195,3),3,4)))</f>
        <v>3</v>
      </c>
      <c r="AO94" s="14">
        <f>IF(Data!AO94&lt;=QUARTILE(Data!AO$4:AO$195,1),1,IF(Data!AO94&lt;=MEDIAN(Data!AO$4:AO$195),2,IF(Data!AO94&lt;=QUARTILE(Data!AO$4:AO$195,3),3,4)))</f>
        <v>4</v>
      </c>
      <c r="AP94" s="19">
        <f>IF(Data!AP94&lt;=QUARTILE(Data!AP$4:AP$195,1),1,IF(Data!AP94&lt;=MEDIAN(Data!AP$4:AP$195),2,IF(Data!AP94&lt;=QUARTILE(Data!AP$4:AP$195,3),3,4)))</f>
        <v>3</v>
      </c>
      <c r="AQ94" s="19">
        <f>IF(Data!AQ94&lt;=QUARTILE(Data!AQ$4:AQ$195,1),1,IF(Data!AQ94&lt;=MEDIAN(Data!AQ$4:AQ$195),2,IF(Data!AQ94&lt;=QUARTILE(Data!AQ$4:AQ$195,3),3,4)))</f>
        <v>4</v>
      </c>
      <c r="AR94" s="19">
        <f>IF(Data!AR94&lt;=QUARTILE(Data!AR$4:AR$195,1),1,IF(Data!AR94&lt;=MEDIAN(Data!AR$4:AR$195),2,IF(Data!AR94&lt;=QUARTILE(Data!AR$4:AR$195,3),3,4)))</f>
        <v>3</v>
      </c>
      <c r="AS94" s="19">
        <f>IF(Data!AS94&lt;=QUARTILE(Data!AS$4:AS$195,1),1,IF(Data!AS94&lt;=MEDIAN(Data!AS$4:AS$195),2,IF(Data!AS94&lt;=QUARTILE(Data!AS$4:AS$195,3),3,4)))</f>
        <v>4</v>
      </c>
      <c r="AT94" s="19">
        <f>IF(Data!AT94&lt;=QUARTILE(Data!AT$4:AT$195,1),1,IF(Data!AT94&lt;=MEDIAN(Data!AT$4:AT$195),2,IF(Data!AT94&lt;=QUARTILE(Data!AT$4:AT$195,3),3,4)))</f>
        <v>2</v>
      </c>
      <c r="AU94" s="19">
        <f>IF(Data!AU94&lt;=QUARTILE(Data!AU$4:AU$195,1),1,IF(Data!AU94&lt;=MEDIAN(Data!AU$4:AU$195),2,IF(Data!AU94&lt;=QUARTILE(Data!AU$4:AU$195,3),3,4)))</f>
        <v>1</v>
      </c>
      <c r="AV94" s="14">
        <f>IF(Data!AV94&lt;=QUARTILE(Data!AV$4:AV$195,1),1,IF(Data!AV94&lt;=MEDIAN(Data!AV$4:AV$195),2,IF(Data!AV94&lt;=QUARTILE(Data!AV$4:AV$195,3),3,4)))</f>
        <v>4</v>
      </c>
      <c r="AW94" s="19">
        <f>IF(Data!AW94&lt;=QUARTILE(Data!AW$4:AW$195,1),1,IF(Data!AW94&lt;=MEDIAN(Data!AW$4:AW$195),2,IF(Data!AW94&lt;=QUARTILE(Data!AW$4:AW$195,3),3,4)))</f>
        <v>3</v>
      </c>
      <c r="AX94" s="19">
        <f>IF(Data!AX94&lt;=QUARTILE(Data!AX$4:AX$195,1),1,IF(Data!AX94&lt;=MEDIAN(Data!AX$4:AX$195),2,IF(Data!AX94&lt;=QUARTILE(Data!AX$4:AX$195,3),3,4)))</f>
        <v>1</v>
      </c>
      <c r="AY94" s="15">
        <f>IF(Data!AY94&lt;=QUARTILE(Data!AY$4:AY$195,1),1,IF(Data!AY94&lt;=MEDIAN(Data!AY$4:AY$195),2,IF(Data!AY94&lt;=QUARTILE(Data!AY$4:AY$195,3),3,4)))</f>
        <v>2</v>
      </c>
      <c r="AZ94" s="14">
        <f>IF(Data!AZ94&lt;=QUARTILE(Data!AZ$4:AZ$195,1),1,IF(Data!AZ94&lt;=MEDIAN(Data!AZ$4:AZ$195),2,IF(Data!AZ94&lt;=QUARTILE(Data!AZ$4:AZ$195,3),3,4)))</f>
        <v>1</v>
      </c>
      <c r="BA94" s="15">
        <f>IF(Data!BA94&lt;=QUARTILE(Data!BA$4:BA$195,1),1,IF(Data!BA94&lt;=MEDIAN(Data!BA$4:BA$195),2,IF(Data!BA94&lt;=QUARTILE(Data!BA$4:BA$195,3),3,4)))</f>
        <v>2</v>
      </c>
    </row>
    <row r="95" spans="1:53" x14ac:dyDescent="0.25">
      <c r="A95" s="4" t="s">
        <v>33</v>
      </c>
      <c r="B95" s="40">
        <v>2007</v>
      </c>
      <c r="C95" s="14">
        <v>10</v>
      </c>
      <c r="D95" s="19">
        <v>6</v>
      </c>
      <c r="E95" s="74" t="s">
        <v>97</v>
      </c>
      <c r="F95" s="19">
        <v>1.8</v>
      </c>
      <c r="G95" s="19">
        <v>0.8</v>
      </c>
      <c r="H95" s="15">
        <v>0.9</v>
      </c>
      <c r="I95" s="14">
        <f>IF(Data!I95&lt;=QUARTILE(Data!I$4:I$195,1),1,IF(Data!I95&lt;=MEDIAN(Data!I$4:I$195),2,IF(Data!I95&lt;=QUARTILE(Data!I$4:I$195,3),3,4)))</f>
        <v>4</v>
      </c>
      <c r="J95" s="19">
        <f>IF(Data!J95&lt;=QUARTILE(Data!J$4:J$195,1),1,IF(Data!J95&lt;=MEDIAN(Data!J$4:J$195),2,IF(Data!J95&lt;=QUARTILE(Data!J$4:J$195,3),3,4)))</f>
        <v>3</v>
      </c>
      <c r="K95" s="19">
        <f>IF(Data!K95&lt;=QUARTILE(Data!K$4:K$195,1),1,IF(Data!K95&lt;=MEDIAN(Data!K$4:K$195),2,IF(Data!K95&lt;=QUARTILE(Data!K$4:K$195,3),3,4)))</f>
        <v>4</v>
      </c>
      <c r="L95" s="15">
        <f>IF(Data!L95&lt;=QUARTILE(Data!L$4:L$195,1),1,IF(Data!L95&lt;=MEDIAN(Data!L$4:L$195),2,IF(Data!L95&lt;=QUARTILE(Data!L$4:L$195,3),3,4)))</f>
        <v>4</v>
      </c>
      <c r="M95" s="14">
        <f>IF(Data!M95&lt;=QUARTILE(Data!M$4:M$195,1),1,IF(Data!M95&lt;=MEDIAN(Data!M$4:M$195),2,IF(Data!M95&lt;=QUARTILE(Data!M$4:M$195,3),3,4)))</f>
        <v>4</v>
      </c>
      <c r="N95" s="19">
        <f>IF(Data!N95&lt;=QUARTILE(Data!N$4:N$195,1),1,IF(Data!N95&lt;=MEDIAN(Data!N$4:N$195),2,IF(Data!N95&lt;=QUARTILE(Data!N$4:N$195,3),3,4)))</f>
        <v>4</v>
      </c>
      <c r="O95" s="19">
        <f>IF(Data!O95&lt;=QUARTILE(Data!O$4:O$195,1),1,IF(Data!O95&lt;=MEDIAN(Data!O$4:O$195),2,IF(Data!O95&lt;=QUARTILE(Data!O$4:O$195,3),3,4)))</f>
        <v>4</v>
      </c>
      <c r="P95" s="19">
        <f>IF(Data!P95&lt;=QUARTILE(Data!P$4:P$195,1),1,IF(Data!P95&lt;=MEDIAN(Data!P$4:P$195),2,IF(Data!P95&lt;=QUARTILE(Data!P$4:P$195,3),3,4)))</f>
        <v>4</v>
      </c>
      <c r="Q95" s="19">
        <f>IF(Data!Q95&lt;=QUARTILE(Data!Q$4:Q$195,1),1,IF(Data!Q95&lt;=MEDIAN(Data!Q$4:Q$195),2,IF(Data!Q95&lt;=QUARTILE(Data!Q$4:Q$195,3),3,4)))</f>
        <v>4</v>
      </c>
      <c r="R95" s="19">
        <f>IF(Data!R95&lt;=QUARTILE(Data!R$4:R$195,1),1,IF(Data!R95&lt;=MEDIAN(Data!R$4:R$195),2,IF(Data!R95&lt;=QUARTILE(Data!R$4:R$195,3),3,4)))</f>
        <v>4</v>
      </c>
      <c r="S95" s="19">
        <f>IF(Data!S95&lt;=QUARTILE(Data!S$4:S$195,1),1,IF(Data!S95&lt;=MEDIAN(Data!S$4:S$195),2,IF(Data!S95&lt;=QUARTILE(Data!S$4:S$195,3),3,4)))</f>
        <v>3</v>
      </c>
      <c r="T95" s="19">
        <f>IF(Data!T95&lt;=QUARTILE(Data!T$4:T$195,1),1,IF(Data!T95&lt;=MEDIAN(Data!T$4:T$195),2,IF(Data!T95&lt;=QUARTILE(Data!T$4:T$195,3),3,4)))</f>
        <v>2</v>
      </c>
      <c r="U95" s="14">
        <f>IF(Data!U95&lt;=QUARTILE(Data!U$4:U$195,1),1,IF(Data!U95&lt;=MEDIAN(Data!U$4:U$195),2,IF(Data!U95&lt;=QUARTILE(Data!U$4:U$195,3),3,4)))</f>
        <v>2</v>
      </c>
      <c r="V95" s="19">
        <f>IF(Data!V95&lt;=QUARTILE(Data!V$4:V$195,1),1,IF(Data!V95&lt;=MEDIAN(Data!V$4:V$195),2,IF(Data!V95&lt;=QUARTILE(Data!V$4:V$195,3),3,4)))</f>
        <v>2</v>
      </c>
      <c r="W95" s="19">
        <f>IF(Data!W95&lt;=QUARTILE(Data!W$4:W$195,1),1,IF(Data!W95&lt;=MEDIAN(Data!W$4:W$195),2,IF(Data!W95&lt;=QUARTILE(Data!W$4:W$195,3),3,4)))</f>
        <v>1</v>
      </c>
      <c r="X95" s="15">
        <f>IF(Data!X95&lt;=QUARTILE(Data!X$4:X$195,1),1,IF(Data!X95&lt;=MEDIAN(Data!X$4:X$195),2,IF(Data!X95&lt;=QUARTILE(Data!X$4:X$195,3),3,4)))</f>
        <v>2</v>
      </c>
      <c r="Y95" s="14">
        <f>IF(Data!Y95&lt;=QUARTILE(Data!Y$4:Y$195,1),1,IF(Data!Y95&lt;=MEDIAN(Data!Y$4:Y$195),2,IF(Data!Y95&lt;=QUARTILE(Data!Y$4:Y$195,3),3,4)))</f>
        <v>1</v>
      </c>
      <c r="Z95" s="22">
        <f>IF(Data!Z95&lt;=QUARTILE(Data!Z$4:Z$195,1),1,IF(Data!Z95&lt;=MEDIAN(Data!Z$4:Z$195),2,IF(Data!Z95&lt;=QUARTILE(Data!Z$4:Z$195,3),3,4)))</f>
        <v>2</v>
      </c>
      <c r="AA95" s="14">
        <f>IF(Data!AA95&lt;=QUARTILE(Data!AA$4:AA$195,1),1,IF(Data!AA95&lt;=MEDIAN(Data!AA$4:AA$195),2,IF(Data!AA95&lt;=QUARTILE(Data!AA$4:AA$195,3),3,4)))</f>
        <v>4</v>
      </c>
      <c r="AB95" s="15">
        <f>IF(Data!AB95&lt;=QUARTILE(Data!AB$4:AB$195,1),1,IF(Data!AB95&lt;=MEDIAN(Data!AB$4:AB$195),2,IF(Data!AB95&lt;=QUARTILE(Data!AB$4:AB$195,3),3,4)))</f>
        <v>4</v>
      </c>
      <c r="AC95" s="14">
        <f>IF(Data!AC95&lt;=QUARTILE(Data!AC$4:AC$195,1),1,IF(Data!AC95&lt;=MEDIAN(Data!AC$4:AC$195),2,IF(Data!AC95&lt;=QUARTILE(Data!AC$4:AC$195,3),3,4)))</f>
        <v>1</v>
      </c>
      <c r="AD95" s="19">
        <f>IF(Data!AD95&lt;=QUARTILE(Data!AD$4:AD$195,1),1,IF(Data!AD95&lt;=MEDIAN(Data!AD$4:AD$195),2,IF(Data!AD95&lt;=QUARTILE(Data!AD$4:AD$195,3),3,4)))</f>
        <v>1</v>
      </c>
      <c r="AE95" s="14">
        <f>IF(Data!AE95&lt;=QUARTILE(Data!AE$4:AE$195,1),1,IF(Data!AE95&lt;=MEDIAN(Data!AE$4:AE$195),2,IF(Data!AE95&lt;=QUARTILE(Data!AE$4:AE$195,3),3,4)))</f>
        <v>2</v>
      </c>
      <c r="AF95" s="19">
        <f>IF(Data!AF95&lt;=QUARTILE(Data!AF$4:AF$195,1),1,IF(Data!AF95&lt;=MEDIAN(Data!AF$4:AF$195),2,IF(Data!AF95&lt;=QUARTILE(Data!AF$4:AF$195,3),3,4)))</f>
        <v>3</v>
      </c>
      <c r="AG95" s="19">
        <f>IF(Data!AG95&lt;=QUARTILE(Data!AG$4:AG$195,1),1,IF(Data!AG95&lt;=MEDIAN(Data!AG$4:AG$195),2,IF(Data!AG95&lt;=QUARTILE(Data!AG$4:AG$195,3),3,4)))</f>
        <v>4</v>
      </c>
      <c r="AH95" s="15">
        <f>IF(Data!AH95&lt;=QUARTILE(Data!AH$4:AH$195,1),1,IF(Data!AH95&lt;=MEDIAN(Data!AH$4:AH$195),2,IF(Data!AH95&lt;=QUARTILE(Data!AH$4:AH$195,3),3,4)))</f>
        <v>4</v>
      </c>
      <c r="AI95" s="14">
        <f>IF(Data!AI95&lt;=QUARTILE(Data!AI$4:AI$195,1),1,IF(Data!AI95&lt;=MEDIAN(Data!AI$4:AI$195),2,IF(Data!AI95&lt;=QUARTILE(Data!AI$4:AI$195,3),3,4)))</f>
        <v>4</v>
      </c>
      <c r="AJ95" s="15">
        <f>IF(Data!AJ95&lt;=QUARTILE(Data!AJ$4:AJ$195,1),1,IF(Data!AJ95&lt;=MEDIAN(Data!AJ$4:AJ$195),2,IF(Data!AJ95&lt;=QUARTILE(Data!AJ$4:AJ$195,3),3,4)))</f>
        <v>3</v>
      </c>
      <c r="AK95" s="14">
        <f>IF(Data!AK95&lt;=QUARTILE(Data!AK$4:AK$195,1),1,IF(Data!AK95&lt;=MEDIAN(Data!AK$4:AK$195),2,IF(Data!AK95&lt;=QUARTILE(Data!AK$4:AK$195,3),3,4)))</f>
        <v>1</v>
      </c>
      <c r="AL95" s="19">
        <f>IF(Data!AL95&lt;=QUARTILE(Data!AL$4:AL$195,1),1,IF(Data!AL95&lt;=MEDIAN(Data!AL$4:AL$195),2,IF(Data!AL95&lt;=QUARTILE(Data!AL$4:AL$195,3),3,4)))</f>
        <v>2</v>
      </c>
      <c r="AM95" s="19">
        <f>IF(Data!AM95&lt;=QUARTILE(Data!AM$4:AM$195,1),1,IF(Data!AM95&lt;=MEDIAN(Data!AM$4:AM$195),2,IF(Data!AM95&lt;=QUARTILE(Data!AM$4:AM$195,3),3,4)))</f>
        <v>4</v>
      </c>
      <c r="AN95" s="15">
        <f>IF(Data!AN95&lt;=QUARTILE(Data!AN$4:AN$195,1),1,IF(Data!AN95&lt;=MEDIAN(Data!AN$4:AN$195),2,IF(Data!AN95&lt;=QUARTILE(Data!AN$4:AN$195,3),3,4)))</f>
        <v>1</v>
      </c>
      <c r="AO95" s="14">
        <f>IF(Data!AO95&lt;=QUARTILE(Data!AO$4:AO$195,1),1,IF(Data!AO95&lt;=MEDIAN(Data!AO$4:AO$195),2,IF(Data!AO95&lt;=QUARTILE(Data!AO$4:AO$195,3),3,4)))</f>
        <v>3</v>
      </c>
      <c r="AP95" s="19">
        <f>IF(Data!AP95&lt;=QUARTILE(Data!AP$4:AP$195,1),1,IF(Data!AP95&lt;=MEDIAN(Data!AP$4:AP$195),2,IF(Data!AP95&lt;=QUARTILE(Data!AP$4:AP$195,3),3,4)))</f>
        <v>4</v>
      </c>
      <c r="AQ95" s="19">
        <f>IF(Data!AQ95&lt;=QUARTILE(Data!AQ$4:AQ$195,1),1,IF(Data!AQ95&lt;=MEDIAN(Data!AQ$4:AQ$195),2,IF(Data!AQ95&lt;=QUARTILE(Data!AQ$4:AQ$195,3),3,4)))</f>
        <v>3</v>
      </c>
      <c r="AR95" s="19">
        <f>IF(Data!AR95&lt;=QUARTILE(Data!AR$4:AR$195,1),1,IF(Data!AR95&lt;=MEDIAN(Data!AR$4:AR$195),2,IF(Data!AR95&lt;=QUARTILE(Data!AR$4:AR$195,3),3,4)))</f>
        <v>1</v>
      </c>
      <c r="AS95" s="19">
        <f>IF(Data!AS95&lt;=QUARTILE(Data!AS$4:AS$195,1),1,IF(Data!AS95&lt;=MEDIAN(Data!AS$4:AS$195),2,IF(Data!AS95&lt;=QUARTILE(Data!AS$4:AS$195,3),3,4)))</f>
        <v>3</v>
      </c>
      <c r="AT95" s="19">
        <f>IF(Data!AT95&lt;=QUARTILE(Data!AT$4:AT$195,1),1,IF(Data!AT95&lt;=MEDIAN(Data!AT$4:AT$195),2,IF(Data!AT95&lt;=QUARTILE(Data!AT$4:AT$195,3),3,4)))</f>
        <v>4</v>
      </c>
      <c r="AU95" s="19">
        <f>IF(Data!AU95&lt;=QUARTILE(Data!AU$4:AU$195,1),1,IF(Data!AU95&lt;=MEDIAN(Data!AU$4:AU$195),2,IF(Data!AU95&lt;=QUARTILE(Data!AU$4:AU$195,3),3,4)))</f>
        <v>4</v>
      </c>
      <c r="AV95" s="14">
        <f>IF(Data!AV95&lt;=QUARTILE(Data!AV$4:AV$195,1),1,IF(Data!AV95&lt;=MEDIAN(Data!AV$4:AV$195),2,IF(Data!AV95&lt;=QUARTILE(Data!AV$4:AV$195,3),3,4)))</f>
        <v>2</v>
      </c>
      <c r="AW95" s="19">
        <f>IF(Data!AW95&lt;=QUARTILE(Data!AW$4:AW$195,1),1,IF(Data!AW95&lt;=MEDIAN(Data!AW$4:AW$195),2,IF(Data!AW95&lt;=QUARTILE(Data!AW$4:AW$195,3),3,4)))</f>
        <v>2</v>
      </c>
      <c r="AX95" s="19">
        <f>IF(Data!AX95&lt;=QUARTILE(Data!AX$4:AX$195,1),1,IF(Data!AX95&lt;=MEDIAN(Data!AX$4:AX$195),2,IF(Data!AX95&lt;=QUARTILE(Data!AX$4:AX$195,3),3,4)))</f>
        <v>3</v>
      </c>
      <c r="AY95" s="15">
        <f>IF(Data!AY95&lt;=QUARTILE(Data!AY$4:AY$195,1),1,IF(Data!AY95&lt;=MEDIAN(Data!AY$4:AY$195),2,IF(Data!AY95&lt;=QUARTILE(Data!AY$4:AY$195,3),3,4)))</f>
        <v>1</v>
      </c>
      <c r="AZ95" s="14">
        <f>IF(Data!AZ95&lt;=QUARTILE(Data!AZ$4:AZ$195,1),1,IF(Data!AZ95&lt;=MEDIAN(Data!AZ$4:AZ$195),2,IF(Data!AZ95&lt;=QUARTILE(Data!AZ$4:AZ$195,3),3,4)))</f>
        <v>4</v>
      </c>
      <c r="BA95" s="15">
        <f>IF(Data!BA95&lt;=QUARTILE(Data!BA$4:BA$195,1),1,IF(Data!BA95&lt;=MEDIAN(Data!BA$4:BA$195),2,IF(Data!BA95&lt;=QUARTILE(Data!BA$4:BA$195,3),3,4)))</f>
        <v>3</v>
      </c>
    </row>
    <row r="96" spans="1:53" x14ac:dyDescent="0.25">
      <c r="A96" s="4" t="s">
        <v>34</v>
      </c>
      <c r="B96" s="40">
        <v>2007</v>
      </c>
      <c r="C96" s="14">
        <v>3</v>
      </c>
      <c r="D96" s="19">
        <v>13</v>
      </c>
      <c r="E96" s="74" t="s">
        <v>96</v>
      </c>
      <c r="F96" s="19">
        <v>-13</v>
      </c>
      <c r="G96" s="19">
        <v>-6.5</v>
      </c>
      <c r="H96" s="15">
        <v>-6.5</v>
      </c>
      <c r="I96" s="14">
        <f>IF(Data!I96&lt;=QUARTILE(Data!I$4:I$195,1),1,IF(Data!I96&lt;=MEDIAN(Data!I$4:I$195),2,IF(Data!I96&lt;=QUARTILE(Data!I$4:I$195,3),3,4)))</f>
        <v>1</v>
      </c>
      <c r="J96" s="19">
        <f>IF(Data!J96&lt;=QUARTILE(Data!J$4:J$195,1),1,IF(Data!J96&lt;=MEDIAN(Data!J$4:J$195),2,IF(Data!J96&lt;=QUARTILE(Data!J$4:J$195,3),3,4)))</f>
        <v>1</v>
      </c>
      <c r="K96" s="19">
        <f>IF(Data!K96&lt;=QUARTILE(Data!K$4:K$195,1),1,IF(Data!K96&lt;=MEDIAN(Data!K$4:K$195),2,IF(Data!K96&lt;=QUARTILE(Data!K$4:K$195,3),3,4)))</f>
        <v>3</v>
      </c>
      <c r="L96" s="15">
        <f>IF(Data!L96&lt;=QUARTILE(Data!L$4:L$195,1),1,IF(Data!L96&lt;=MEDIAN(Data!L$4:L$195),2,IF(Data!L96&lt;=QUARTILE(Data!L$4:L$195,3),3,4)))</f>
        <v>2</v>
      </c>
      <c r="M96" s="14">
        <f>IF(Data!M96&lt;=QUARTILE(Data!M$4:M$195,1),1,IF(Data!M96&lt;=MEDIAN(Data!M$4:M$195),2,IF(Data!M96&lt;=QUARTILE(Data!M$4:M$195,3),3,4)))</f>
        <v>3</v>
      </c>
      <c r="N96" s="19">
        <f>IF(Data!N96&lt;=QUARTILE(Data!N$4:N$195,1),1,IF(Data!N96&lt;=MEDIAN(Data!N$4:N$195),2,IF(Data!N96&lt;=QUARTILE(Data!N$4:N$195,3),3,4)))</f>
        <v>4</v>
      </c>
      <c r="O96" s="19">
        <f>IF(Data!O96&lt;=QUARTILE(Data!O$4:O$195,1),1,IF(Data!O96&lt;=MEDIAN(Data!O$4:O$195),2,IF(Data!O96&lt;=QUARTILE(Data!O$4:O$195,3),3,4)))</f>
        <v>2</v>
      </c>
      <c r="P96" s="19">
        <f>IF(Data!P96&lt;=QUARTILE(Data!P$4:P$195,1),1,IF(Data!P96&lt;=MEDIAN(Data!P$4:P$195),2,IF(Data!P96&lt;=QUARTILE(Data!P$4:P$195,3),3,4)))</f>
        <v>2</v>
      </c>
      <c r="Q96" s="19">
        <f>IF(Data!Q96&lt;=QUARTILE(Data!Q$4:Q$195,1),1,IF(Data!Q96&lt;=MEDIAN(Data!Q$4:Q$195),2,IF(Data!Q96&lt;=QUARTILE(Data!Q$4:Q$195,3),3,4)))</f>
        <v>4</v>
      </c>
      <c r="R96" s="19">
        <f>IF(Data!R96&lt;=QUARTILE(Data!R$4:R$195,1),1,IF(Data!R96&lt;=MEDIAN(Data!R$4:R$195),2,IF(Data!R96&lt;=QUARTILE(Data!R$4:R$195,3),3,4)))</f>
        <v>1</v>
      </c>
      <c r="S96" s="19">
        <f>IF(Data!S96&lt;=QUARTILE(Data!S$4:S$195,1),1,IF(Data!S96&lt;=MEDIAN(Data!S$4:S$195),2,IF(Data!S96&lt;=QUARTILE(Data!S$4:S$195,3),3,4)))</f>
        <v>4</v>
      </c>
      <c r="T96" s="19">
        <f>IF(Data!T96&lt;=QUARTILE(Data!T$4:T$195,1),1,IF(Data!T96&lt;=MEDIAN(Data!T$4:T$195),2,IF(Data!T96&lt;=QUARTILE(Data!T$4:T$195,3),3,4)))</f>
        <v>4</v>
      </c>
      <c r="U96" s="14">
        <f>IF(Data!U96&lt;=QUARTILE(Data!U$4:U$195,1),1,IF(Data!U96&lt;=MEDIAN(Data!U$4:U$195),2,IF(Data!U96&lt;=QUARTILE(Data!U$4:U$195,3),3,4)))</f>
        <v>1</v>
      </c>
      <c r="V96" s="19">
        <f>IF(Data!V96&lt;=QUARTILE(Data!V$4:V$195,1),1,IF(Data!V96&lt;=MEDIAN(Data!V$4:V$195),2,IF(Data!V96&lt;=QUARTILE(Data!V$4:V$195,3),3,4)))</f>
        <v>1</v>
      </c>
      <c r="W96" s="19">
        <f>IF(Data!W96&lt;=QUARTILE(Data!W$4:W$195,1),1,IF(Data!W96&lt;=MEDIAN(Data!W$4:W$195),2,IF(Data!W96&lt;=QUARTILE(Data!W$4:W$195,3),3,4)))</f>
        <v>1</v>
      </c>
      <c r="X96" s="15">
        <f>IF(Data!X96&lt;=QUARTILE(Data!X$4:X$195,1),1,IF(Data!X96&lt;=MEDIAN(Data!X$4:X$195),2,IF(Data!X96&lt;=QUARTILE(Data!X$4:X$195,3),3,4)))</f>
        <v>1</v>
      </c>
      <c r="Y96" s="14">
        <f>IF(Data!Y96&lt;=QUARTILE(Data!Y$4:Y$195,1),1,IF(Data!Y96&lt;=MEDIAN(Data!Y$4:Y$195),2,IF(Data!Y96&lt;=QUARTILE(Data!Y$4:Y$195,3),3,4)))</f>
        <v>4</v>
      </c>
      <c r="Z96" s="22">
        <f>IF(Data!Z96&lt;=QUARTILE(Data!Z$4:Z$195,1),1,IF(Data!Z96&lt;=MEDIAN(Data!Z$4:Z$195),2,IF(Data!Z96&lt;=QUARTILE(Data!Z$4:Z$195,3),3,4)))</f>
        <v>1</v>
      </c>
      <c r="AA96" s="14">
        <f>IF(Data!AA96&lt;=QUARTILE(Data!AA$4:AA$195,1),1,IF(Data!AA96&lt;=MEDIAN(Data!AA$4:AA$195),2,IF(Data!AA96&lt;=QUARTILE(Data!AA$4:AA$195,3),3,4)))</f>
        <v>1</v>
      </c>
      <c r="AB96" s="15">
        <f>IF(Data!AB96&lt;=QUARTILE(Data!AB$4:AB$195,1),1,IF(Data!AB96&lt;=MEDIAN(Data!AB$4:AB$195),2,IF(Data!AB96&lt;=QUARTILE(Data!AB$4:AB$195,3),3,4)))</f>
        <v>3</v>
      </c>
      <c r="AC96" s="14">
        <f>IF(Data!AC96&lt;=QUARTILE(Data!AC$4:AC$195,1),1,IF(Data!AC96&lt;=MEDIAN(Data!AC$4:AC$195),2,IF(Data!AC96&lt;=QUARTILE(Data!AC$4:AC$195,3),3,4)))</f>
        <v>4</v>
      </c>
      <c r="AD96" s="19">
        <f>IF(Data!AD96&lt;=QUARTILE(Data!AD$4:AD$195,1),1,IF(Data!AD96&lt;=MEDIAN(Data!AD$4:AD$195),2,IF(Data!AD96&lt;=QUARTILE(Data!AD$4:AD$195,3),3,4)))</f>
        <v>4</v>
      </c>
      <c r="AE96" s="14">
        <f>IF(Data!AE96&lt;=QUARTILE(Data!AE$4:AE$195,1),1,IF(Data!AE96&lt;=MEDIAN(Data!AE$4:AE$195),2,IF(Data!AE96&lt;=QUARTILE(Data!AE$4:AE$195,3),3,4)))</f>
        <v>1</v>
      </c>
      <c r="AF96" s="19">
        <f>IF(Data!AF96&lt;=QUARTILE(Data!AF$4:AF$195,1),1,IF(Data!AF96&lt;=MEDIAN(Data!AF$4:AF$195),2,IF(Data!AF96&lt;=QUARTILE(Data!AF$4:AF$195,3),3,4)))</f>
        <v>1</v>
      </c>
      <c r="AG96" s="19">
        <f>IF(Data!AG96&lt;=QUARTILE(Data!AG$4:AG$195,1),1,IF(Data!AG96&lt;=MEDIAN(Data!AG$4:AG$195),2,IF(Data!AG96&lt;=QUARTILE(Data!AG$4:AG$195,3),3,4)))</f>
        <v>4</v>
      </c>
      <c r="AH96" s="15">
        <f>IF(Data!AH96&lt;=QUARTILE(Data!AH$4:AH$195,1),1,IF(Data!AH96&lt;=MEDIAN(Data!AH$4:AH$195),2,IF(Data!AH96&lt;=QUARTILE(Data!AH$4:AH$195,3),3,4)))</f>
        <v>4</v>
      </c>
      <c r="AI96" s="14">
        <f>IF(Data!AI96&lt;=QUARTILE(Data!AI$4:AI$195,1),1,IF(Data!AI96&lt;=MEDIAN(Data!AI$4:AI$195),2,IF(Data!AI96&lt;=QUARTILE(Data!AI$4:AI$195,3),3,4)))</f>
        <v>3</v>
      </c>
      <c r="AJ96" s="15">
        <f>IF(Data!AJ96&lt;=QUARTILE(Data!AJ$4:AJ$195,1),1,IF(Data!AJ96&lt;=MEDIAN(Data!AJ$4:AJ$195),2,IF(Data!AJ96&lt;=QUARTILE(Data!AJ$4:AJ$195,3),3,4)))</f>
        <v>4</v>
      </c>
      <c r="AK96" s="14">
        <f>IF(Data!AK96&lt;=QUARTILE(Data!AK$4:AK$195,1),1,IF(Data!AK96&lt;=MEDIAN(Data!AK$4:AK$195),2,IF(Data!AK96&lt;=QUARTILE(Data!AK$4:AK$195,3),3,4)))</f>
        <v>4</v>
      </c>
      <c r="AL96" s="19">
        <f>IF(Data!AL96&lt;=QUARTILE(Data!AL$4:AL$195,1),1,IF(Data!AL96&lt;=MEDIAN(Data!AL$4:AL$195),2,IF(Data!AL96&lt;=QUARTILE(Data!AL$4:AL$195,3),3,4)))</f>
        <v>3</v>
      </c>
      <c r="AM96" s="19">
        <f>IF(Data!AM96&lt;=QUARTILE(Data!AM$4:AM$195,1),1,IF(Data!AM96&lt;=MEDIAN(Data!AM$4:AM$195),2,IF(Data!AM96&lt;=QUARTILE(Data!AM$4:AM$195,3),3,4)))</f>
        <v>3</v>
      </c>
      <c r="AN96" s="15">
        <f>IF(Data!AN96&lt;=QUARTILE(Data!AN$4:AN$195,1),1,IF(Data!AN96&lt;=MEDIAN(Data!AN$4:AN$195),2,IF(Data!AN96&lt;=QUARTILE(Data!AN$4:AN$195,3),3,4)))</f>
        <v>4</v>
      </c>
      <c r="AO96" s="14">
        <f>IF(Data!AO96&lt;=QUARTILE(Data!AO$4:AO$195,1),1,IF(Data!AO96&lt;=MEDIAN(Data!AO$4:AO$195),2,IF(Data!AO96&lt;=QUARTILE(Data!AO$4:AO$195,3),3,4)))</f>
        <v>3</v>
      </c>
      <c r="AP96" s="19">
        <f>IF(Data!AP96&lt;=QUARTILE(Data!AP$4:AP$195,1),1,IF(Data!AP96&lt;=MEDIAN(Data!AP$4:AP$195),2,IF(Data!AP96&lt;=QUARTILE(Data!AP$4:AP$195,3),3,4)))</f>
        <v>3</v>
      </c>
      <c r="AQ96" s="19">
        <f>IF(Data!AQ96&lt;=QUARTILE(Data!AQ$4:AQ$195,1),1,IF(Data!AQ96&lt;=MEDIAN(Data!AQ$4:AQ$195),2,IF(Data!AQ96&lt;=QUARTILE(Data!AQ$4:AQ$195,3),3,4)))</f>
        <v>3</v>
      </c>
      <c r="AR96" s="19">
        <f>IF(Data!AR96&lt;=QUARTILE(Data!AR$4:AR$195,1),1,IF(Data!AR96&lt;=MEDIAN(Data!AR$4:AR$195),2,IF(Data!AR96&lt;=QUARTILE(Data!AR$4:AR$195,3),3,4)))</f>
        <v>3</v>
      </c>
      <c r="AS96" s="19">
        <f>IF(Data!AS96&lt;=QUARTILE(Data!AS$4:AS$195,1),1,IF(Data!AS96&lt;=MEDIAN(Data!AS$4:AS$195),2,IF(Data!AS96&lt;=QUARTILE(Data!AS$4:AS$195,3),3,4)))</f>
        <v>4</v>
      </c>
      <c r="AT96" s="19">
        <f>IF(Data!AT96&lt;=QUARTILE(Data!AT$4:AT$195,1),1,IF(Data!AT96&lt;=MEDIAN(Data!AT$4:AT$195),2,IF(Data!AT96&lt;=QUARTILE(Data!AT$4:AT$195,3),3,4)))</f>
        <v>2</v>
      </c>
      <c r="AU96" s="19">
        <f>IF(Data!AU96&lt;=QUARTILE(Data!AU$4:AU$195,1),1,IF(Data!AU96&lt;=MEDIAN(Data!AU$4:AU$195),2,IF(Data!AU96&lt;=QUARTILE(Data!AU$4:AU$195,3),3,4)))</f>
        <v>3</v>
      </c>
      <c r="AV96" s="14">
        <f>IF(Data!AV96&lt;=QUARTILE(Data!AV$4:AV$195,1),1,IF(Data!AV96&lt;=MEDIAN(Data!AV$4:AV$195),2,IF(Data!AV96&lt;=QUARTILE(Data!AV$4:AV$195,3),3,4)))</f>
        <v>3</v>
      </c>
      <c r="AW96" s="19">
        <f>IF(Data!AW96&lt;=QUARTILE(Data!AW$4:AW$195,1),1,IF(Data!AW96&lt;=MEDIAN(Data!AW$4:AW$195),2,IF(Data!AW96&lt;=QUARTILE(Data!AW$4:AW$195,3),3,4)))</f>
        <v>3</v>
      </c>
      <c r="AX96" s="19">
        <f>IF(Data!AX96&lt;=QUARTILE(Data!AX$4:AX$195,1),1,IF(Data!AX96&lt;=MEDIAN(Data!AX$4:AX$195),2,IF(Data!AX96&lt;=QUARTILE(Data!AX$4:AX$195,3),3,4)))</f>
        <v>3</v>
      </c>
      <c r="AY96" s="15">
        <f>IF(Data!AY96&lt;=QUARTILE(Data!AY$4:AY$195,1),1,IF(Data!AY96&lt;=MEDIAN(Data!AY$4:AY$195),2,IF(Data!AY96&lt;=QUARTILE(Data!AY$4:AY$195,3),3,4)))</f>
        <v>3</v>
      </c>
      <c r="AZ96" s="14">
        <f>IF(Data!AZ96&lt;=QUARTILE(Data!AZ$4:AZ$195,1),1,IF(Data!AZ96&lt;=MEDIAN(Data!AZ$4:AZ$195),2,IF(Data!AZ96&lt;=QUARTILE(Data!AZ$4:AZ$195,3),3,4)))</f>
        <v>3</v>
      </c>
      <c r="BA96" s="15">
        <f>IF(Data!BA96&lt;=QUARTILE(Data!BA$4:BA$195,1),1,IF(Data!BA96&lt;=MEDIAN(Data!BA$4:BA$195),2,IF(Data!BA96&lt;=QUARTILE(Data!BA$4:BA$195,3),3,4)))</f>
        <v>1</v>
      </c>
    </row>
    <row r="97" spans="1:53" x14ac:dyDescent="0.25">
      <c r="A97" s="4" t="s">
        <v>30</v>
      </c>
      <c r="B97" s="40">
        <v>2007</v>
      </c>
      <c r="C97" s="14">
        <v>9</v>
      </c>
      <c r="D97" s="19">
        <v>7</v>
      </c>
      <c r="E97" s="74" t="s">
        <v>97</v>
      </c>
      <c r="F97" s="19">
        <v>1.2</v>
      </c>
      <c r="G97" s="19">
        <v>-2.2999999999999998</v>
      </c>
      <c r="H97" s="15">
        <v>3.6</v>
      </c>
      <c r="I97" s="14">
        <f>IF(Data!I97&lt;=QUARTILE(Data!I$4:I$195,1),1,IF(Data!I97&lt;=MEDIAN(Data!I$4:I$195),2,IF(Data!I97&lt;=QUARTILE(Data!I$4:I$195,3),3,4)))</f>
        <v>2</v>
      </c>
      <c r="J97" s="19">
        <f>IF(Data!J97&lt;=QUARTILE(Data!J$4:J$195,1),1,IF(Data!J97&lt;=MEDIAN(Data!J$4:J$195),2,IF(Data!J97&lt;=QUARTILE(Data!J$4:J$195,3),3,4)))</f>
        <v>3</v>
      </c>
      <c r="K97" s="19">
        <f>IF(Data!K97&lt;=QUARTILE(Data!K$4:K$195,1),1,IF(Data!K97&lt;=MEDIAN(Data!K$4:K$195),2,IF(Data!K97&lt;=QUARTILE(Data!K$4:K$195,3),3,4)))</f>
        <v>2</v>
      </c>
      <c r="L97" s="15">
        <f>IF(Data!L97&lt;=QUARTILE(Data!L$4:L$195,1),1,IF(Data!L97&lt;=MEDIAN(Data!L$4:L$195),2,IF(Data!L97&lt;=QUARTILE(Data!L$4:L$195,3),3,4)))</f>
        <v>2</v>
      </c>
      <c r="M97" s="14">
        <f>IF(Data!M97&lt;=QUARTILE(Data!M$4:M$195,1),1,IF(Data!M97&lt;=MEDIAN(Data!M$4:M$195),2,IF(Data!M97&lt;=QUARTILE(Data!M$4:M$195,3),3,4)))</f>
        <v>3</v>
      </c>
      <c r="N97" s="19">
        <f>IF(Data!N97&lt;=QUARTILE(Data!N$4:N$195,1),1,IF(Data!N97&lt;=MEDIAN(Data!N$4:N$195),2,IF(Data!N97&lt;=QUARTILE(Data!N$4:N$195,3),3,4)))</f>
        <v>2</v>
      </c>
      <c r="O97" s="19">
        <f>IF(Data!O97&lt;=QUARTILE(Data!O$4:O$195,1),1,IF(Data!O97&lt;=MEDIAN(Data!O$4:O$195),2,IF(Data!O97&lt;=QUARTILE(Data!O$4:O$195,3),3,4)))</f>
        <v>3</v>
      </c>
      <c r="P97" s="19">
        <f>IF(Data!P97&lt;=QUARTILE(Data!P$4:P$195,1),1,IF(Data!P97&lt;=MEDIAN(Data!P$4:P$195),2,IF(Data!P97&lt;=QUARTILE(Data!P$4:P$195,3),3,4)))</f>
        <v>2</v>
      </c>
      <c r="Q97" s="19">
        <f>IF(Data!Q97&lt;=QUARTILE(Data!Q$4:Q$195,1),1,IF(Data!Q97&lt;=MEDIAN(Data!Q$4:Q$195),2,IF(Data!Q97&lt;=QUARTILE(Data!Q$4:Q$195,3),3,4)))</f>
        <v>2</v>
      </c>
      <c r="R97" s="19">
        <f>IF(Data!R97&lt;=QUARTILE(Data!R$4:R$195,1),1,IF(Data!R97&lt;=MEDIAN(Data!R$4:R$195),2,IF(Data!R97&lt;=QUARTILE(Data!R$4:R$195,3),3,4)))</f>
        <v>4</v>
      </c>
      <c r="S97" s="19">
        <f>IF(Data!S97&lt;=QUARTILE(Data!S$4:S$195,1),1,IF(Data!S97&lt;=MEDIAN(Data!S$4:S$195),2,IF(Data!S97&lt;=QUARTILE(Data!S$4:S$195,3),3,4)))</f>
        <v>3</v>
      </c>
      <c r="T97" s="19">
        <f>IF(Data!T97&lt;=QUARTILE(Data!T$4:T$195,1),1,IF(Data!T97&lt;=MEDIAN(Data!T$4:T$195),2,IF(Data!T97&lt;=QUARTILE(Data!T$4:T$195,3),3,4)))</f>
        <v>3</v>
      </c>
      <c r="U97" s="14">
        <f>IF(Data!U97&lt;=QUARTILE(Data!U$4:U$195,1),1,IF(Data!U97&lt;=MEDIAN(Data!U$4:U$195),2,IF(Data!U97&lt;=QUARTILE(Data!U$4:U$195,3),3,4)))</f>
        <v>3</v>
      </c>
      <c r="V97" s="19">
        <f>IF(Data!V97&lt;=QUARTILE(Data!V$4:V$195,1),1,IF(Data!V97&lt;=MEDIAN(Data!V$4:V$195),2,IF(Data!V97&lt;=QUARTILE(Data!V$4:V$195,3),3,4)))</f>
        <v>3</v>
      </c>
      <c r="W97" s="19">
        <f>IF(Data!W97&lt;=QUARTILE(Data!W$4:W$195,1),1,IF(Data!W97&lt;=MEDIAN(Data!W$4:W$195),2,IF(Data!W97&lt;=QUARTILE(Data!W$4:W$195,3),3,4)))</f>
        <v>3</v>
      </c>
      <c r="X97" s="15">
        <f>IF(Data!X97&lt;=QUARTILE(Data!X$4:X$195,1),1,IF(Data!X97&lt;=MEDIAN(Data!X$4:X$195),2,IF(Data!X97&lt;=QUARTILE(Data!X$4:X$195,3),3,4)))</f>
        <v>3</v>
      </c>
      <c r="Y97" s="14">
        <f>IF(Data!Y97&lt;=QUARTILE(Data!Y$4:Y$195,1),1,IF(Data!Y97&lt;=MEDIAN(Data!Y$4:Y$195),2,IF(Data!Y97&lt;=QUARTILE(Data!Y$4:Y$195,3),3,4)))</f>
        <v>1</v>
      </c>
      <c r="Z97" s="22">
        <f>IF(Data!Z97&lt;=QUARTILE(Data!Z$4:Z$195,1),1,IF(Data!Z97&lt;=MEDIAN(Data!Z$4:Z$195),2,IF(Data!Z97&lt;=QUARTILE(Data!Z$4:Z$195,3),3,4)))</f>
        <v>2</v>
      </c>
      <c r="AA97" s="14">
        <f>IF(Data!AA97&lt;=QUARTILE(Data!AA$4:AA$195,1),1,IF(Data!AA97&lt;=MEDIAN(Data!AA$4:AA$195),2,IF(Data!AA97&lt;=QUARTILE(Data!AA$4:AA$195,3),3,4)))</f>
        <v>4</v>
      </c>
      <c r="AB97" s="15">
        <f>IF(Data!AB97&lt;=QUARTILE(Data!AB$4:AB$195,1),1,IF(Data!AB97&lt;=MEDIAN(Data!AB$4:AB$195),2,IF(Data!AB97&lt;=QUARTILE(Data!AB$4:AB$195,3),3,4)))</f>
        <v>3</v>
      </c>
      <c r="AC97" s="14">
        <f>IF(Data!AC97&lt;=QUARTILE(Data!AC$4:AC$195,1),1,IF(Data!AC97&lt;=MEDIAN(Data!AC$4:AC$195),2,IF(Data!AC97&lt;=QUARTILE(Data!AC$4:AC$195,3),3,4)))</f>
        <v>1</v>
      </c>
      <c r="AD97" s="19">
        <f>IF(Data!AD97&lt;=QUARTILE(Data!AD$4:AD$195,1),1,IF(Data!AD97&lt;=MEDIAN(Data!AD$4:AD$195),2,IF(Data!AD97&lt;=QUARTILE(Data!AD$4:AD$195,3),3,4)))</f>
        <v>1</v>
      </c>
      <c r="AE97" s="14">
        <f>IF(Data!AE97&lt;=QUARTILE(Data!AE$4:AE$195,1),1,IF(Data!AE97&lt;=MEDIAN(Data!AE$4:AE$195),2,IF(Data!AE97&lt;=QUARTILE(Data!AE$4:AE$195,3),3,4)))</f>
        <v>4</v>
      </c>
      <c r="AF97" s="19">
        <f>IF(Data!AF97&lt;=QUARTILE(Data!AF$4:AF$195,1),1,IF(Data!AF97&lt;=MEDIAN(Data!AF$4:AF$195),2,IF(Data!AF97&lt;=QUARTILE(Data!AF$4:AF$195,3),3,4)))</f>
        <v>4</v>
      </c>
      <c r="AG97" s="19">
        <f>IF(Data!AG97&lt;=QUARTILE(Data!AG$4:AG$195,1),1,IF(Data!AG97&lt;=MEDIAN(Data!AG$4:AG$195),2,IF(Data!AG97&lt;=QUARTILE(Data!AG$4:AG$195,3),3,4)))</f>
        <v>2</v>
      </c>
      <c r="AH97" s="15">
        <f>IF(Data!AH97&lt;=QUARTILE(Data!AH$4:AH$195,1),1,IF(Data!AH97&lt;=MEDIAN(Data!AH$4:AH$195),2,IF(Data!AH97&lt;=QUARTILE(Data!AH$4:AH$195,3),3,4)))</f>
        <v>1</v>
      </c>
      <c r="AI97" s="14">
        <f>IF(Data!AI97&lt;=QUARTILE(Data!AI$4:AI$195,1),1,IF(Data!AI97&lt;=MEDIAN(Data!AI$4:AI$195),2,IF(Data!AI97&lt;=QUARTILE(Data!AI$4:AI$195,3),3,4)))</f>
        <v>3</v>
      </c>
      <c r="AJ97" s="15">
        <f>IF(Data!AJ97&lt;=QUARTILE(Data!AJ$4:AJ$195,1),1,IF(Data!AJ97&lt;=MEDIAN(Data!AJ$4:AJ$195),2,IF(Data!AJ97&lt;=QUARTILE(Data!AJ$4:AJ$195,3),3,4)))</f>
        <v>3</v>
      </c>
      <c r="AK97" s="14">
        <f>IF(Data!AK97&lt;=QUARTILE(Data!AK$4:AK$195,1),1,IF(Data!AK97&lt;=MEDIAN(Data!AK$4:AK$195),2,IF(Data!AK97&lt;=QUARTILE(Data!AK$4:AK$195,3),3,4)))</f>
        <v>1</v>
      </c>
      <c r="AL97" s="19">
        <f>IF(Data!AL97&lt;=QUARTILE(Data!AL$4:AL$195,1),1,IF(Data!AL97&lt;=MEDIAN(Data!AL$4:AL$195),2,IF(Data!AL97&lt;=QUARTILE(Data!AL$4:AL$195,3),3,4)))</f>
        <v>1</v>
      </c>
      <c r="AM97" s="19">
        <f>IF(Data!AM97&lt;=QUARTILE(Data!AM$4:AM$195,1),1,IF(Data!AM97&lt;=MEDIAN(Data!AM$4:AM$195),2,IF(Data!AM97&lt;=QUARTILE(Data!AM$4:AM$195,3),3,4)))</f>
        <v>2</v>
      </c>
      <c r="AN97" s="15">
        <f>IF(Data!AN97&lt;=QUARTILE(Data!AN$4:AN$195,1),1,IF(Data!AN97&lt;=MEDIAN(Data!AN$4:AN$195),2,IF(Data!AN97&lt;=QUARTILE(Data!AN$4:AN$195,3),3,4)))</f>
        <v>1</v>
      </c>
      <c r="AO97" s="14">
        <f>IF(Data!AO97&lt;=QUARTILE(Data!AO$4:AO$195,1),1,IF(Data!AO97&lt;=MEDIAN(Data!AO$4:AO$195),2,IF(Data!AO97&lt;=QUARTILE(Data!AO$4:AO$195,3),3,4)))</f>
        <v>2</v>
      </c>
      <c r="AP97" s="19">
        <f>IF(Data!AP97&lt;=QUARTILE(Data!AP$4:AP$195,1),1,IF(Data!AP97&lt;=MEDIAN(Data!AP$4:AP$195),2,IF(Data!AP97&lt;=QUARTILE(Data!AP$4:AP$195,3),3,4)))</f>
        <v>1</v>
      </c>
      <c r="AQ97" s="19">
        <f>IF(Data!AQ97&lt;=QUARTILE(Data!AQ$4:AQ$195,1),1,IF(Data!AQ97&lt;=MEDIAN(Data!AQ$4:AQ$195),2,IF(Data!AQ97&lt;=QUARTILE(Data!AQ$4:AQ$195,3),3,4)))</f>
        <v>1</v>
      </c>
      <c r="AR97" s="19">
        <f>IF(Data!AR97&lt;=QUARTILE(Data!AR$4:AR$195,1),1,IF(Data!AR97&lt;=MEDIAN(Data!AR$4:AR$195),2,IF(Data!AR97&lt;=QUARTILE(Data!AR$4:AR$195,3),3,4)))</f>
        <v>1</v>
      </c>
      <c r="AS97" s="19">
        <f>IF(Data!AS97&lt;=QUARTILE(Data!AS$4:AS$195,1),1,IF(Data!AS97&lt;=MEDIAN(Data!AS$4:AS$195),2,IF(Data!AS97&lt;=QUARTILE(Data!AS$4:AS$195,3),3,4)))</f>
        <v>1</v>
      </c>
      <c r="AT97" s="19">
        <f>IF(Data!AT97&lt;=QUARTILE(Data!AT$4:AT$195,1),1,IF(Data!AT97&lt;=MEDIAN(Data!AT$4:AT$195),2,IF(Data!AT97&lt;=QUARTILE(Data!AT$4:AT$195,3),3,4)))</f>
        <v>2</v>
      </c>
      <c r="AU97" s="19">
        <f>IF(Data!AU97&lt;=QUARTILE(Data!AU$4:AU$195,1),1,IF(Data!AU97&lt;=MEDIAN(Data!AU$4:AU$195),2,IF(Data!AU97&lt;=QUARTILE(Data!AU$4:AU$195,3),3,4)))</f>
        <v>2</v>
      </c>
      <c r="AV97" s="14">
        <f>IF(Data!AV97&lt;=QUARTILE(Data!AV$4:AV$195,1),1,IF(Data!AV97&lt;=MEDIAN(Data!AV$4:AV$195),2,IF(Data!AV97&lt;=QUARTILE(Data!AV$4:AV$195,3),3,4)))</f>
        <v>3</v>
      </c>
      <c r="AW97" s="19">
        <f>IF(Data!AW97&lt;=QUARTILE(Data!AW$4:AW$195,1),1,IF(Data!AW97&lt;=MEDIAN(Data!AW$4:AW$195),2,IF(Data!AW97&lt;=QUARTILE(Data!AW$4:AW$195,3),3,4)))</f>
        <v>2</v>
      </c>
      <c r="AX97" s="19">
        <f>IF(Data!AX97&lt;=QUARTILE(Data!AX$4:AX$195,1),1,IF(Data!AX97&lt;=MEDIAN(Data!AX$4:AX$195),2,IF(Data!AX97&lt;=QUARTILE(Data!AX$4:AX$195,3),3,4)))</f>
        <v>2</v>
      </c>
      <c r="AY97" s="15">
        <f>IF(Data!AY97&lt;=QUARTILE(Data!AY$4:AY$195,1),1,IF(Data!AY97&lt;=MEDIAN(Data!AY$4:AY$195),2,IF(Data!AY97&lt;=QUARTILE(Data!AY$4:AY$195,3),3,4)))</f>
        <v>2</v>
      </c>
      <c r="AZ97" s="14">
        <f>IF(Data!AZ97&lt;=QUARTILE(Data!AZ$4:AZ$195,1),1,IF(Data!AZ97&lt;=MEDIAN(Data!AZ$4:AZ$195),2,IF(Data!AZ97&lt;=QUARTILE(Data!AZ$4:AZ$195,3),3,4)))</f>
        <v>2</v>
      </c>
      <c r="BA97" s="15">
        <f>IF(Data!BA97&lt;=QUARTILE(Data!BA$4:BA$195,1),1,IF(Data!BA97&lt;=MEDIAN(Data!BA$4:BA$195),2,IF(Data!BA97&lt;=QUARTILE(Data!BA$4:BA$195,3),3,4)))</f>
        <v>4</v>
      </c>
    </row>
    <row r="98" spans="1:53" x14ac:dyDescent="0.25">
      <c r="A98" s="4" t="s">
        <v>13</v>
      </c>
      <c r="B98" s="40">
        <v>2007</v>
      </c>
      <c r="C98" s="14">
        <v>10</v>
      </c>
      <c r="D98" s="19">
        <v>6</v>
      </c>
      <c r="E98" s="74" t="s">
        <v>97</v>
      </c>
      <c r="F98" s="19">
        <v>0.7</v>
      </c>
      <c r="G98" s="19">
        <v>-2.9</v>
      </c>
      <c r="H98" s="15">
        <v>3.6</v>
      </c>
      <c r="I98" s="14">
        <f>IF(Data!I98&lt;=QUARTILE(Data!I$4:I$195,1),1,IF(Data!I98&lt;=MEDIAN(Data!I$4:I$195),2,IF(Data!I98&lt;=QUARTILE(Data!I$4:I$195,3),3,4)))</f>
        <v>2</v>
      </c>
      <c r="J98" s="19">
        <f>IF(Data!J98&lt;=QUARTILE(Data!J$4:J$195,1),1,IF(Data!J98&lt;=MEDIAN(Data!J$4:J$195),2,IF(Data!J98&lt;=QUARTILE(Data!J$4:J$195,3),3,4)))</f>
        <v>2</v>
      </c>
      <c r="K98" s="19">
        <f>IF(Data!K98&lt;=QUARTILE(Data!K$4:K$195,1),1,IF(Data!K98&lt;=MEDIAN(Data!K$4:K$195),2,IF(Data!K98&lt;=QUARTILE(Data!K$4:K$195,3),3,4)))</f>
        <v>4</v>
      </c>
      <c r="L98" s="15">
        <f>IF(Data!L98&lt;=QUARTILE(Data!L$4:L$195,1),1,IF(Data!L98&lt;=MEDIAN(Data!L$4:L$195),2,IF(Data!L98&lt;=QUARTILE(Data!L$4:L$195,3),3,4)))</f>
        <v>3</v>
      </c>
      <c r="M98" s="14">
        <f>IF(Data!M98&lt;=QUARTILE(Data!M$4:M$195,1),1,IF(Data!M98&lt;=MEDIAN(Data!M$4:M$195),2,IF(Data!M98&lt;=QUARTILE(Data!M$4:M$195,3),3,4)))</f>
        <v>2</v>
      </c>
      <c r="N98" s="19">
        <f>IF(Data!N98&lt;=QUARTILE(Data!N$4:N$195,1),1,IF(Data!N98&lt;=MEDIAN(Data!N$4:N$195),2,IF(Data!N98&lt;=QUARTILE(Data!N$4:N$195,3),3,4)))</f>
        <v>1</v>
      </c>
      <c r="O98" s="19">
        <f>IF(Data!O98&lt;=QUARTILE(Data!O$4:O$195,1),1,IF(Data!O98&lt;=MEDIAN(Data!O$4:O$195),2,IF(Data!O98&lt;=QUARTILE(Data!O$4:O$195,3),3,4)))</f>
        <v>1</v>
      </c>
      <c r="P98" s="19">
        <f>IF(Data!P98&lt;=QUARTILE(Data!P$4:P$195,1),1,IF(Data!P98&lt;=MEDIAN(Data!P$4:P$195),2,IF(Data!P98&lt;=QUARTILE(Data!P$4:P$195,3),3,4)))</f>
        <v>1</v>
      </c>
      <c r="Q98" s="19">
        <f>IF(Data!Q98&lt;=QUARTILE(Data!Q$4:Q$195,1),1,IF(Data!Q98&lt;=MEDIAN(Data!Q$4:Q$195),2,IF(Data!Q98&lt;=QUARTILE(Data!Q$4:Q$195,3),3,4)))</f>
        <v>2</v>
      </c>
      <c r="R98" s="19">
        <f>IF(Data!R98&lt;=QUARTILE(Data!R$4:R$195,1),1,IF(Data!R98&lt;=MEDIAN(Data!R$4:R$195),2,IF(Data!R98&lt;=QUARTILE(Data!R$4:R$195,3),3,4)))</f>
        <v>1</v>
      </c>
      <c r="S98" s="19">
        <f>IF(Data!S98&lt;=QUARTILE(Data!S$4:S$195,1),1,IF(Data!S98&lt;=MEDIAN(Data!S$4:S$195),2,IF(Data!S98&lt;=QUARTILE(Data!S$4:S$195,3),3,4)))</f>
        <v>2</v>
      </c>
      <c r="T98" s="19">
        <f>IF(Data!T98&lt;=QUARTILE(Data!T$4:T$195,1),1,IF(Data!T98&lt;=MEDIAN(Data!T$4:T$195),2,IF(Data!T98&lt;=QUARTILE(Data!T$4:T$195,3),3,4)))</f>
        <v>2</v>
      </c>
      <c r="U98" s="14">
        <f>IF(Data!U98&lt;=QUARTILE(Data!U$4:U$195,1),1,IF(Data!U98&lt;=MEDIAN(Data!U$4:U$195),2,IF(Data!U98&lt;=QUARTILE(Data!U$4:U$195,3),3,4)))</f>
        <v>4</v>
      </c>
      <c r="V98" s="19">
        <f>IF(Data!V98&lt;=QUARTILE(Data!V$4:V$195,1),1,IF(Data!V98&lt;=MEDIAN(Data!V$4:V$195),2,IF(Data!V98&lt;=QUARTILE(Data!V$4:V$195,3),3,4)))</f>
        <v>4</v>
      </c>
      <c r="W98" s="19">
        <f>IF(Data!W98&lt;=QUARTILE(Data!W$4:W$195,1),1,IF(Data!W98&lt;=MEDIAN(Data!W$4:W$195),2,IF(Data!W98&lt;=QUARTILE(Data!W$4:W$195,3),3,4)))</f>
        <v>3</v>
      </c>
      <c r="X98" s="15">
        <f>IF(Data!X98&lt;=QUARTILE(Data!X$4:X$195,1),1,IF(Data!X98&lt;=MEDIAN(Data!X$4:X$195),2,IF(Data!X98&lt;=QUARTILE(Data!X$4:X$195,3),3,4)))</f>
        <v>4</v>
      </c>
      <c r="Y98" s="14">
        <f>IF(Data!Y98&lt;=QUARTILE(Data!Y$4:Y$195,1),1,IF(Data!Y98&lt;=MEDIAN(Data!Y$4:Y$195),2,IF(Data!Y98&lt;=QUARTILE(Data!Y$4:Y$195,3),3,4)))</f>
        <v>3</v>
      </c>
      <c r="Z98" s="22">
        <f>IF(Data!Z98&lt;=QUARTILE(Data!Z$4:Z$195,1),1,IF(Data!Z98&lt;=MEDIAN(Data!Z$4:Z$195),2,IF(Data!Z98&lt;=QUARTILE(Data!Z$4:Z$195,3),3,4)))</f>
        <v>4</v>
      </c>
      <c r="AA98" s="14">
        <f>IF(Data!AA98&lt;=QUARTILE(Data!AA$4:AA$195,1),1,IF(Data!AA98&lt;=MEDIAN(Data!AA$4:AA$195),2,IF(Data!AA98&lt;=QUARTILE(Data!AA$4:AA$195,3),3,4)))</f>
        <v>3</v>
      </c>
      <c r="AB98" s="15">
        <f>IF(Data!AB98&lt;=QUARTILE(Data!AB$4:AB$195,1),1,IF(Data!AB98&lt;=MEDIAN(Data!AB$4:AB$195),2,IF(Data!AB98&lt;=QUARTILE(Data!AB$4:AB$195,3),3,4)))</f>
        <v>3</v>
      </c>
      <c r="AC98" s="14">
        <f>IF(Data!AC98&lt;=QUARTILE(Data!AC$4:AC$195,1),1,IF(Data!AC98&lt;=MEDIAN(Data!AC$4:AC$195),2,IF(Data!AC98&lt;=QUARTILE(Data!AC$4:AC$195,3),3,4)))</f>
        <v>1</v>
      </c>
      <c r="AD98" s="19">
        <f>IF(Data!AD98&lt;=QUARTILE(Data!AD$4:AD$195,1),1,IF(Data!AD98&lt;=MEDIAN(Data!AD$4:AD$195),2,IF(Data!AD98&lt;=QUARTILE(Data!AD$4:AD$195,3),3,4)))</f>
        <v>1</v>
      </c>
      <c r="AE98" s="14">
        <f>IF(Data!AE98&lt;=QUARTILE(Data!AE$4:AE$195,1),1,IF(Data!AE98&lt;=MEDIAN(Data!AE$4:AE$195),2,IF(Data!AE98&lt;=QUARTILE(Data!AE$4:AE$195,3),3,4)))</f>
        <v>4</v>
      </c>
      <c r="AF98" s="19">
        <f>IF(Data!AF98&lt;=QUARTILE(Data!AF$4:AF$195,1),1,IF(Data!AF98&lt;=MEDIAN(Data!AF$4:AF$195),2,IF(Data!AF98&lt;=QUARTILE(Data!AF$4:AF$195,3),3,4)))</f>
        <v>4</v>
      </c>
      <c r="AG98" s="19">
        <f>IF(Data!AG98&lt;=QUARTILE(Data!AG$4:AG$195,1),1,IF(Data!AG98&lt;=MEDIAN(Data!AG$4:AG$195),2,IF(Data!AG98&lt;=QUARTILE(Data!AG$4:AG$195,3),3,4)))</f>
        <v>4</v>
      </c>
      <c r="AH98" s="15">
        <f>IF(Data!AH98&lt;=QUARTILE(Data!AH$4:AH$195,1),1,IF(Data!AH98&lt;=MEDIAN(Data!AH$4:AH$195),2,IF(Data!AH98&lt;=QUARTILE(Data!AH$4:AH$195,3),3,4)))</f>
        <v>4</v>
      </c>
      <c r="AI98" s="14">
        <f>IF(Data!AI98&lt;=QUARTILE(Data!AI$4:AI$195,1),1,IF(Data!AI98&lt;=MEDIAN(Data!AI$4:AI$195),2,IF(Data!AI98&lt;=QUARTILE(Data!AI$4:AI$195,3),3,4)))</f>
        <v>2</v>
      </c>
      <c r="AJ98" s="15">
        <f>IF(Data!AJ98&lt;=QUARTILE(Data!AJ$4:AJ$195,1),1,IF(Data!AJ98&lt;=MEDIAN(Data!AJ$4:AJ$195),2,IF(Data!AJ98&lt;=QUARTILE(Data!AJ$4:AJ$195,3),3,4)))</f>
        <v>2</v>
      </c>
      <c r="AK98" s="14">
        <f>IF(Data!AK98&lt;=QUARTILE(Data!AK$4:AK$195,1),1,IF(Data!AK98&lt;=MEDIAN(Data!AK$4:AK$195),2,IF(Data!AK98&lt;=QUARTILE(Data!AK$4:AK$195,3),3,4)))</f>
        <v>1</v>
      </c>
      <c r="AL98" s="19">
        <f>IF(Data!AL98&lt;=QUARTILE(Data!AL$4:AL$195,1),1,IF(Data!AL98&lt;=MEDIAN(Data!AL$4:AL$195),2,IF(Data!AL98&lt;=QUARTILE(Data!AL$4:AL$195,3),3,4)))</f>
        <v>1</v>
      </c>
      <c r="AM98" s="19">
        <f>IF(Data!AM98&lt;=QUARTILE(Data!AM$4:AM$195,1),1,IF(Data!AM98&lt;=MEDIAN(Data!AM$4:AM$195),2,IF(Data!AM98&lt;=QUARTILE(Data!AM$4:AM$195,3),3,4)))</f>
        <v>2</v>
      </c>
      <c r="AN98" s="15">
        <f>IF(Data!AN98&lt;=QUARTILE(Data!AN$4:AN$195,1),1,IF(Data!AN98&lt;=MEDIAN(Data!AN$4:AN$195),2,IF(Data!AN98&lt;=QUARTILE(Data!AN$4:AN$195,3),3,4)))</f>
        <v>1</v>
      </c>
      <c r="AO98" s="14">
        <f>IF(Data!AO98&lt;=QUARTILE(Data!AO$4:AO$195,1),1,IF(Data!AO98&lt;=MEDIAN(Data!AO$4:AO$195),2,IF(Data!AO98&lt;=QUARTILE(Data!AO$4:AO$195,3),3,4)))</f>
        <v>4</v>
      </c>
      <c r="AP98" s="19">
        <f>IF(Data!AP98&lt;=QUARTILE(Data!AP$4:AP$195,1),1,IF(Data!AP98&lt;=MEDIAN(Data!AP$4:AP$195),2,IF(Data!AP98&lt;=QUARTILE(Data!AP$4:AP$195,3),3,4)))</f>
        <v>4</v>
      </c>
      <c r="AQ98" s="19">
        <f>IF(Data!AQ98&lt;=QUARTILE(Data!AQ$4:AQ$195,1),1,IF(Data!AQ98&lt;=MEDIAN(Data!AQ$4:AQ$195),2,IF(Data!AQ98&lt;=QUARTILE(Data!AQ$4:AQ$195,3),3,4)))</f>
        <v>2</v>
      </c>
      <c r="AR98" s="19">
        <f>IF(Data!AR98&lt;=QUARTILE(Data!AR$4:AR$195,1),1,IF(Data!AR98&lt;=MEDIAN(Data!AR$4:AR$195),2,IF(Data!AR98&lt;=QUARTILE(Data!AR$4:AR$195,3),3,4)))</f>
        <v>2</v>
      </c>
      <c r="AS98" s="19">
        <f>IF(Data!AS98&lt;=QUARTILE(Data!AS$4:AS$195,1),1,IF(Data!AS98&lt;=MEDIAN(Data!AS$4:AS$195),2,IF(Data!AS98&lt;=QUARTILE(Data!AS$4:AS$195,3),3,4)))</f>
        <v>2</v>
      </c>
      <c r="AT98" s="19">
        <f>IF(Data!AT98&lt;=QUARTILE(Data!AT$4:AT$195,1),1,IF(Data!AT98&lt;=MEDIAN(Data!AT$4:AT$195),2,IF(Data!AT98&lt;=QUARTILE(Data!AT$4:AT$195,3),3,4)))</f>
        <v>3</v>
      </c>
      <c r="AU98" s="19">
        <f>IF(Data!AU98&lt;=QUARTILE(Data!AU$4:AU$195,1),1,IF(Data!AU98&lt;=MEDIAN(Data!AU$4:AU$195),2,IF(Data!AU98&lt;=QUARTILE(Data!AU$4:AU$195,3),3,4)))</f>
        <v>3</v>
      </c>
      <c r="AV98" s="14">
        <f>IF(Data!AV98&lt;=QUARTILE(Data!AV$4:AV$195,1),1,IF(Data!AV98&lt;=MEDIAN(Data!AV$4:AV$195),2,IF(Data!AV98&lt;=QUARTILE(Data!AV$4:AV$195,3),3,4)))</f>
        <v>1</v>
      </c>
      <c r="AW98" s="19">
        <f>IF(Data!AW98&lt;=QUARTILE(Data!AW$4:AW$195,1),1,IF(Data!AW98&lt;=MEDIAN(Data!AW$4:AW$195),2,IF(Data!AW98&lt;=QUARTILE(Data!AW$4:AW$195,3),3,4)))</f>
        <v>1</v>
      </c>
      <c r="AX98" s="19">
        <f>IF(Data!AX98&lt;=QUARTILE(Data!AX$4:AX$195,1),1,IF(Data!AX98&lt;=MEDIAN(Data!AX$4:AX$195),2,IF(Data!AX98&lt;=QUARTILE(Data!AX$4:AX$195,3),3,4)))</f>
        <v>2</v>
      </c>
      <c r="AY98" s="15">
        <f>IF(Data!AY98&lt;=QUARTILE(Data!AY$4:AY$195,1),1,IF(Data!AY98&lt;=MEDIAN(Data!AY$4:AY$195),2,IF(Data!AY98&lt;=QUARTILE(Data!AY$4:AY$195,3),3,4)))</f>
        <v>1</v>
      </c>
      <c r="AZ98" s="14">
        <f>IF(Data!AZ98&lt;=QUARTILE(Data!AZ$4:AZ$195,1),1,IF(Data!AZ98&lt;=MEDIAN(Data!AZ$4:AZ$195),2,IF(Data!AZ98&lt;=QUARTILE(Data!AZ$4:AZ$195,3),3,4)))</f>
        <v>4</v>
      </c>
      <c r="BA98" s="15">
        <f>IF(Data!BA98&lt;=QUARTILE(Data!BA$4:BA$195,1),1,IF(Data!BA98&lt;=MEDIAN(Data!BA$4:BA$195),2,IF(Data!BA98&lt;=QUARTILE(Data!BA$4:BA$195,3),3,4)))</f>
        <v>3</v>
      </c>
    </row>
    <row r="99" spans="1:53" ht="15.75" thickBot="1" x14ac:dyDescent="0.3">
      <c r="A99" s="6" t="s">
        <v>22</v>
      </c>
      <c r="B99" s="41">
        <v>2007</v>
      </c>
      <c r="C99" s="16">
        <v>9</v>
      </c>
      <c r="D99" s="20">
        <v>7</v>
      </c>
      <c r="E99" s="75" t="s">
        <v>97</v>
      </c>
      <c r="F99" s="20">
        <v>4.5</v>
      </c>
      <c r="G99" s="20">
        <v>0.2</v>
      </c>
      <c r="H99" s="17">
        <v>4.3</v>
      </c>
      <c r="I99" s="16">
        <f>IF(Data!I99&lt;=QUARTILE(Data!I$4:I$195,1),1,IF(Data!I99&lt;=MEDIAN(Data!I$4:I$195),2,IF(Data!I99&lt;=QUARTILE(Data!I$4:I$195,3),3,4)))</f>
        <v>2</v>
      </c>
      <c r="J99" s="20">
        <f>IF(Data!J99&lt;=QUARTILE(Data!J$4:J$195,1),1,IF(Data!J99&lt;=MEDIAN(Data!J$4:J$195),2,IF(Data!J99&lt;=QUARTILE(Data!J$4:J$195,3),3,4)))</f>
        <v>3</v>
      </c>
      <c r="K99" s="20">
        <f>IF(Data!K99&lt;=QUARTILE(Data!K$4:K$195,1),1,IF(Data!K99&lt;=MEDIAN(Data!K$4:K$195),2,IF(Data!K99&lt;=QUARTILE(Data!K$4:K$195,3),3,4)))</f>
        <v>4</v>
      </c>
      <c r="L99" s="17">
        <f>IF(Data!L99&lt;=QUARTILE(Data!L$4:L$195,1),1,IF(Data!L99&lt;=MEDIAN(Data!L$4:L$195),2,IF(Data!L99&lt;=QUARTILE(Data!L$4:L$195,3),3,4)))</f>
        <v>3</v>
      </c>
      <c r="M99" s="16">
        <f>IF(Data!M99&lt;=QUARTILE(Data!M$4:M$195,1),1,IF(Data!M99&lt;=MEDIAN(Data!M$4:M$195),2,IF(Data!M99&lt;=QUARTILE(Data!M$4:M$195,3),3,4)))</f>
        <v>3</v>
      </c>
      <c r="N99" s="20">
        <f>IF(Data!N99&lt;=QUARTILE(Data!N$4:N$195,1),1,IF(Data!N99&lt;=MEDIAN(Data!N$4:N$195),2,IF(Data!N99&lt;=QUARTILE(Data!N$4:N$195,3),3,4)))</f>
        <v>3</v>
      </c>
      <c r="O99" s="20">
        <f>IF(Data!O99&lt;=QUARTILE(Data!O$4:O$195,1),1,IF(Data!O99&lt;=MEDIAN(Data!O$4:O$195),2,IF(Data!O99&lt;=QUARTILE(Data!O$4:O$195,3),3,4)))</f>
        <v>3</v>
      </c>
      <c r="P99" s="20">
        <f>IF(Data!P99&lt;=QUARTILE(Data!P$4:P$195,1),1,IF(Data!P99&lt;=MEDIAN(Data!P$4:P$195),2,IF(Data!P99&lt;=QUARTILE(Data!P$4:P$195,3),3,4)))</f>
        <v>2</v>
      </c>
      <c r="Q99" s="20">
        <f>IF(Data!Q99&lt;=QUARTILE(Data!Q$4:Q$195,1),1,IF(Data!Q99&lt;=MEDIAN(Data!Q$4:Q$195),2,IF(Data!Q99&lt;=QUARTILE(Data!Q$4:Q$195,3),3,4)))</f>
        <v>3</v>
      </c>
      <c r="R99" s="20">
        <f>IF(Data!R99&lt;=QUARTILE(Data!R$4:R$195,1),1,IF(Data!R99&lt;=MEDIAN(Data!R$4:R$195),2,IF(Data!R99&lt;=QUARTILE(Data!R$4:R$195,3),3,4)))</f>
        <v>3</v>
      </c>
      <c r="S99" s="20">
        <f>IF(Data!S99&lt;=QUARTILE(Data!S$4:S$195,1),1,IF(Data!S99&lt;=MEDIAN(Data!S$4:S$195),2,IF(Data!S99&lt;=QUARTILE(Data!S$4:S$195,3),3,4)))</f>
        <v>2</v>
      </c>
      <c r="T99" s="20">
        <f>IF(Data!T99&lt;=QUARTILE(Data!T$4:T$195,1),1,IF(Data!T99&lt;=MEDIAN(Data!T$4:T$195),2,IF(Data!T99&lt;=QUARTILE(Data!T$4:T$195,3),3,4)))</f>
        <v>1</v>
      </c>
      <c r="U99" s="16">
        <f>IF(Data!U99&lt;=QUARTILE(Data!U$4:U$195,1),1,IF(Data!U99&lt;=MEDIAN(Data!U$4:U$195),2,IF(Data!U99&lt;=QUARTILE(Data!U$4:U$195,3),3,4)))</f>
        <v>4</v>
      </c>
      <c r="V99" s="20">
        <f>IF(Data!V99&lt;=QUARTILE(Data!V$4:V$195,1),1,IF(Data!V99&lt;=MEDIAN(Data!V$4:V$195),2,IF(Data!V99&lt;=QUARTILE(Data!V$4:V$195,3),3,4)))</f>
        <v>3</v>
      </c>
      <c r="W99" s="20">
        <f>IF(Data!W99&lt;=QUARTILE(Data!W$4:W$195,1),1,IF(Data!W99&lt;=MEDIAN(Data!W$4:W$195),2,IF(Data!W99&lt;=QUARTILE(Data!W$4:W$195,3),3,4)))</f>
        <v>3</v>
      </c>
      <c r="X99" s="17">
        <f>IF(Data!X99&lt;=QUARTILE(Data!X$4:X$195,1),1,IF(Data!X99&lt;=MEDIAN(Data!X$4:X$195),2,IF(Data!X99&lt;=QUARTILE(Data!X$4:X$195,3),3,4)))</f>
        <v>3</v>
      </c>
      <c r="Y99" s="16">
        <f>IF(Data!Y99&lt;=QUARTILE(Data!Y$4:Y$195,1),1,IF(Data!Y99&lt;=MEDIAN(Data!Y$4:Y$195),2,IF(Data!Y99&lt;=QUARTILE(Data!Y$4:Y$195,3),3,4)))</f>
        <v>1</v>
      </c>
      <c r="Z99" s="23">
        <f>IF(Data!Z99&lt;=QUARTILE(Data!Z$4:Z$195,1),1,IF(Data!Z99&lt;=MEDIAN(Data!Z$4:Z$195),2,IF(Data!Z99&lt;=QUARTILE(Data!Z$4:Z$195,3),3,4)))</f>
        <v>4</v>
      </c>
      <c r="AA99" s="16">
        <f>IF(Data!AA99&lt;=QUARTILE(Data!AA$4:AA$195,1),1,IF(Data!AA99&lt;=MEDIAN(Data!AA$4:AA$195),2,IF(Data!AA99&lt;=QUARTILE(Data!AA$4:AA$195,3),3,4)))</f>
        <v>3</v>
      </c>
      <c r="AB99" s="17">
        <f>IF(Data!AB99&lt;=QUARTILE(Data!AB$4:AB$195,1),1,IF(Data!AB99&lt;=MEDIAN(Data!AB$4:AB$195),2,IF(Data!AB99&lt;=QUARTILE(Data!AB$4:AB$195,3),3,4)))</f>
        <v>2</v>
      </c>
      <c r="AC99" s="16">
        <f>IF(Data!AC99&lt;=QUARTILE(Data!AC$4:AC$195,1),1,IF(Data!AC99&lt;=MEDIAN(Data!AC$4:AC$195),2,IF(Data!AC99&lt;=QUARTILE(Data!AC$4:AC$195,3),3,4)))</f>
        <v>2</v>
      </c>
      <c r="AD99" s="20">
        <f>IF(Data!AD99&lt;=QUARTILE(Data!AD$4:AD$195,1),1,IF(Data!AD99&lt;=MEDIAN(Data!AD$4:AD$195),2,IF(Data!AD99&lt;=QUARTILE(Data!AD$4:AD$195,3),3,4)))</f>
        <v>3</v>
      </c>
      <c r="AE99" s="16">
        <f>IF(Data!AE99&lt;=QUARTILE(Data!AE$4:AE$195,1),1,IF(Data!AE99&lt;=MEDIAN(Data!AE$4:AE$195),2,IF(Data!AE99&lt;=QUARTILE(Data!AE$4:AE$195,3),3,4)))</f>
        <v>3</v>
      </c>
      <c r="AF99" s="20">
        <f>IF(Data!AF99&lt;=QUARTILE(Data!AF$4:AF$195,1),1,IF(Data!AF99&lt;=MEDIAN(Data!AF$4:AF$195),2,IF(Data!AF99&lt;=QUARTILE(Data!AF$4:AF$195,3),3,4)))</f>
        <v>3</v>
      </c>
      <c r="AG99" s="20">
        <f>IF(Data!AG99&lt;=QUARTILE(Data!AG$4:AG$195,1),1,IF(Data!AG99&lt;=MEDIAN(Data!AG$4:AG$195),2,IF(Data!AG99&lt;=QUARTILE(Data!AG$4:AG$195,3),3,4)))</f>
        <v>4</v>
      </c>
      <c r="AH99" s="17">
        <f>IF(Data!AH99&lt;=QUARTILE(Data!AH$4:AH$195,1),1,IF(Data!AH99&lt;=MEDIAN(Data!AH$4:AH$195),2,IF(Data!AH99&lt;=QUARTILE(Data!AH$4:AH$195,3),3,4)))</f>
        <v>4</v>
      </c>
      <c r="AI99" s="16">
        <f>IF(Data!AI99&lt;=QUARTILE(Data!AI$4:AI$195,1),1,IF(Data!AI99&lt;=MEDIAN(Data!AI$4:AI$195),2,IF(Data!AI99&lt;=QUARTILE(Data!AI$4:AI$195,3),3,4)))</f>
        <v>2</v>
      </c>
      <c r="AJ99" s="17">
        <f>IF(Data!AJ99&lt;=QUARTILE(Data!AJ$4:AJ$195,1),1,IF(Data!AJ99&lt;=MEDIAN(Data!AJ$4:AJ$195),2,IF(Data!AJ99&lt;=QUARTILE(Data!AJ$4:AJ$195,3),3,4)))</f>
        <v>2</v>
      </c>
      <c r="AK99" s="16">
        <f>IF(Data!AK99&lt;=QUARTILE(Data!AK$4:AK$195,1),1,IF(Data!AK99&lt;=MEDIAN(Data!AK$4:AK$195),2,IF(Data!AK99&lt;=QUARTILE(Data!AK$4:AK$195,3),3,4)))</f>
        <v>2</v>
      </c>
      <c r="AL99" s="20">
        <f>IF(Data!AL99&lt;=QUARTILE(Data!AL$4:AL$195,1),1,IF(Data!AL99&lt;=MEDIAN(Data!AL$4:AL$195),2,IF(Data!AL99&lt;=QUARTILE(Data!AL$4:AL$195,3),3,4)))</f>
        <v>1</v>
      </c>
      <c r="AM99" s="20">
        <f>IF(Data!AM99&lt;=QUARTILE(Data!AM$4:AM$195,1),1,IF(Data!AM99&lt;=MEDIAN(Data!AM$4:AM$195),2,IF(Data!AM99&lt;=QUARTILE(Data!AM$4:AM$195,3),3,4)))</f>
        <v>3</v>
      </c>
      <c r="AN99" s="17">
        <f>IF(Data!AN99&lt;=QUARTILE(Data!AN$4:AN$195,1),1,IF(Data!AN99&lt;=MEDIAN(Data!AN$4:AN$195),2,IF(Data!AN99&lt;=QUARTILE(Data!AN$4:AN$195,3),3,4)))</f>
        <v>2</v>
      </c>
      <c r="AO99" s="16">
        <f>IF(Data!AO99&lt;=QUARTILE(Data!AO$4:AO$195,1),1,IF(Data!AO99&lt;=MEDIAN(Data!AO$4:AO$195),2,IF(Data!AO99&lt;=QUARTILE(Data!AO$4:AO$195,3),3,4)))</f>
        <v>4</v>
      </c>
      <c r="AP99" s="20">
        <f>IF(Data!AP99&lt;=QUARTILE(Data!AP$4:AP$195,1),1,IF(Data!AP99&lt;=MEDIAN(Data!AP$4:AP$195),2,IF(Data!AP99&lt;=QUARTILE(Data!AP$4:AP$195,3),3,4)))</f>
        <v>4</v>
      </c>
      <c r="AQ99" s="20">
        <f>IF(Data!AQ99&lt;=QUARTILE(Data!AQ$4:AQ$195,1),1,IF(Data!AQ99&lt;=MEDIAN(Data!AQ$4:AQ$195),2,IF(Data!AQ99&lt;=QUARTILE(Data!AQ$4:AQ$195,3),3,4)))</f>
        <v>3</v>
      </c>
      <c r="AR99" s="20">
        <f>IF(Data!AR99&lt;=QUARTILE(Data!AR$4:AR$195,1),1,IF(Data!AR99&lt;=MEDIAN(Data!AR$4:AR$195),2,IF(Data!AR99&lt;=QUARTILE(Data!AR$4:AR$195,3),3,4)))</f>
        <v>2</v>
      </c>
      <c r="AS99" s="20">
        <f>IF(Data!AS99&lt;=QUARTILE(Data!AS$4:AS$195,1),1,IF(Data!AS99&lt;=MEDIAN(Data!AS$4:AS$195),2,IF(Data!AS99&lt;=QUARTILE(Data!AS$4:AS$195,3),3,4)))</f>
        <v>2</v>
      </c>
      <c r="AT99" s="20">
        <f>IF(Data!AT99&lt;=QUARTILE(Data!AT$4:AT$195,1),1,IF(Data!AT99&lt;=MEDIAN(Data!AT$4:AT$195),2,IF(Data!AT99&lt;=QUARTILE(Data!AT$4:AT$195,3),3,4)))</f>
        <v>2</v>
      </c>
      <c r="AU99" s="20">
        <f>IF(Data!AU99&lt;=QUARTILE(Data!AU$4:AU$195,1),1,IF(Data!AU99&lt;=MEDIAN(Data!AU$4:AU$195),2,IF(Data!AU99&lt;=QUARTILE(Data!AU$4:AU$195,3),3,4)))</f>
        <v>2</v>
      </c>
      <c r="AV99" s="16">
        <f>IF(Data!AV99&lt;=QUARTILE(Data!AV$4:AV$195,1),1,IF(Data!AV99&lt;=MEDIAN(Data!AV$4:AV$195),2,IF(Data!AV99&lt;=QUARTILE(Data!AV$4:AV$195,3),3,4)))</f>
        <v>1</v>
      </c>
      <c r="AW99" s="20">
        <f>IF(Data!AW99&lt;=QUARTILE(Data!AW$4:AW$195,1),1,IF(Data!AW99&lt;=MEDIAN(Data!AW$4:AW$195),2,IF(Data!AW99&lt;=QUARTILE(Data!AW$4:AW$195,3),3,4)))</f>
        <v>1</v>
      </c>
      <c r="AX99" s="20">
        <f>IF(Data!AX99&lt;=QUARTILE(Data!AX$4:AX$195,1),1,IF(Data!AX99&lt;=MEDIAN(Data!AX$4:AX$195),2,IF(Data!AX99&lt;=QUARTILE(Data!AX$4:AX$195,3),3,4)))</f>
        <v>1</v>
      </c>
      <c r="AY99" s="17">
        <f>IF(Data!AY99&lt;=QUARTILE(Data!AY$4:AY$195,1),1,IF(Data!AY99&lt;=MEDIAN(Data!AY$4:AY$195),2,IF(Data!AY99&lt;=QUARTILE(Data!AY$4:AY$195,3),3,4)))</f>
        <v>2</v>
      </c>
      <c r="AZ99" s="16">
        <f>IF(Data!AZ99&lt;=QUARTILE(Data!AZ$4:AZ$195,1),1,IF(Data!AZ99&lt;=MEDIAN(Data!AZ$4:AZ$195),2,IF(Data!AZ99&lt;=QUARTILE(Data!AZ$4:AZ$195,3),3,4)))</f>
        <v>2</v>
      </c>
      <c r="BA99" s="17">
        <f>IF(Data!BA99&lt;=QUARTILE(Data!BA$4:BA$195,1),1,IF(Data!BA99&lt;=MEDIAN(Data!BA$4:BA$195),2,IF(Data!BA99&lt;=QUARTILE(Data!BA$4:BA$195,3),3,4)))</f>
        <v>2</v>
      </c>
    </row>
    <row r="100" spans="1:53" x14ac:dyDescent="0.25">
      <c r="A100" s="11" t="s">
        <v>31</v>
      </c>
      <c r="B100" s="39">
        <v>2006</v>
      </c>
      <c r="C100" s="24">
        <v>5</v>
      </c>
      <c r="D100" s="27">
        <v>11</v>
      </c>
      <c r="E100" s="76" t="s">
        <v>96</v>
      </c>
      <c r="F100" s="27">
        <v>-6.9</v>
      </c>
      <c r="G100" s="27">
        <v>-2.6</v>
      </c>
      <c r="H100" s="21">
        <v>-4.3</v>
      </c>
      <c r="I100" s="24">
        <f>IF(Data!I100&lt;=QUARTILE(Data!I$4:I$195,1),1,IF(Data!I100&lt;=MEDIAN(Data!I$4:I$195),2,IF(Data!I100&lt;=QUARTILE(Data!I$4:I$195,3),3,4)))</f>
        <v>2</v>
      </c>
      <c r="J100" s="27">
        <f>IF(Data!J100&lt;=QUARTILE(Data!J$4:J$195,1),1,IF(Data!J100&lt;=MEDIAN(Data!J$4:J$195),2,IF(Data!J100&lt;=QUARTILE(Data!J$4:J$195,3),3,4)))</f>
        <v>2</v>
      </c>
      <c r="K100" s="27">
        <f>IF(Data!K100&lt;=QUARTILE(Data!K$4:K$195,1),1,IF(Data!K100&lt;=MEDIAN(Data!K$4:K$195),2,IF(Data!K100&lt;=QUARTILE(Data!K$4:K$195,3),3,4)))</f>
        <v>2</v>
      </c>
      <c r="L100" s="21">
        <f>IF(Data!L100&lt;=QUARTILE(Data!L$4:L$195,1),1,IF(Data!L100&lt;=MEDIAN(Data!L$4:L$195),2,IF(Data!L100&lt;=QUARTILE(Data!L$4:L$195,3),3,4)))</f>
        <v>3</v>
      </c>
      <c r="M100" s="27">
        <f>IF(Data!M100&lt;=QUARTILE(Data!M$4:M$195,1),1,IF(Data!M100&lt;=MEDIAN(Data!M$4:M$195),2,IF(Data!M100&lt;=QUARTILE(Data!M$4:M$195,3),3,4)))</f>
        <v>3</v>
      </c>
      <c r="N100" s="27">
        <f>IF(Data!N100&lt;=QUARTILE(Data!N$4:N$195,1),1,IF(Data!N100&lt;=MEDIAN(Data!N$4:N$195),2,IF(Data!N100&lt;=QUARTILE(Data!N$4:N$195,3),3,4)))</f>
        <v>3</v>
      </c>
      <c r="O100" s="27">
        <f>IF(Data!O100&lt;=QUARTILE(Data!O$4:O$195,1),1,IF(Data!O100&lt;=MEDIAN(Data!O$4:O$195),2,IF(Data!O100&lt;=QUARTILE(Data!O$4:O$195,3),3,4)))</f>
        <v>3</v>
      </c>
      <c r="P100" s="27">
        <f>IF(Data!P100&lt;=QUARTILE(Data!P$4:P$195,1),1,IF(Data!P100&lt;=MEDIAN(Data!P$4:P$195),2,IF(Data!P100&lt;=QUARTILE(Data!P$4:P$195,3),3,4)))</f>
        <v>2</v>
      </c>
      <c r="Q100" s="27">
        <f>IF(Data!Q100&lt;=QUARTILE(Data!Q$4:Q$195,1),1,IF(Data!Q100&lt;=MEDIAN(Data!Q$4:Q$195),2,IF(Data!Q100&lt;=QUARTILE(Data!Q$4:Q$195,3),3,4)))</f>
        <v>3</v>
      </c>
      <c r="R100" s="27">
        <f>IF(Data!R100&lt;=QUARTILE(Data!R$4:R$195,1),1,IF(Data!R100&lt;=MEDIAN(Data!R$4:R$195),2,IF(Data!R100&lt;=QUARTILE(Data!R$4:R$195,3),3,4)))</f>
        <v>2</v>
      </c>
      <c r="S100" s="27">
        <f>IF(Data!S100&lt;=QUARTILE(Data!S$4:S$195,1),1,IF(Data!S100&lt;=MEDIAN(Data!S$4:S$195),2,IF(Data!S100&lt;=QUARTILE(Data!S$4:S$195,3),3,4)))</f>
        <v>3</v>
      </c>
      <c r="T100" s="21">
        <f>IF(Data!T100&lt;=QUARTILE(Data!T$4:T$195,1),1,IF(Data!T100&lt;=MEDIAN(Data!T$4:T$195),2,IF(Data!T100&lt;=QUARTILE(Data!T$4:T$195,3),3,4)))</f>
        <v>3</v>
      </c>
      <c r="U100" s="24">
        <f>IF(Data!U100&lt;=QUARTILE(Data!U$4:U$195,1),1,IF(Data!U100&lt;=MEDIAN(Data!U$4:U$195),2,IF(Data!U100&lt;=QUARTILE(Data!U$4:U$195,3),3,4)))</f>
        <v>2</v>
      </c>
      <c r="V100" s="27">
        <f>IF(Data!V100&lt;=QUARTILE(Data!V$4:V$195,1),1,IF(Data!V100&lt;=MEDIAN(Data!V$4:V$195),2,IF(Data!V100&lt;=QUARTILE(Data!V$4:V$195,3),3,4)))</f>
        <v>1</v>
      </c>
      <c r="W100" s="27">
        <f>IF(Data!W100&lt;=QUARTILE(Data!W$4:W$195,1),1,IF(Data!W100&lt;=MEDIAN(Data!W$4:W$195),2,IF(Data!W100&lt;=QUARTILE(Data!W$4:W$195,3),3,4)))</f>
        <v>2</v>
      </c>
      <c r="X100" s="21">
        <f>IF(Data!X100&lt;=QUARTILE(Data!X$4:X$195,1),1,IF(Data!X100&lt;=MEDIAN(Data!X$4:X$195),2,IF(Data!X100&lt;=QUARTILE(Data!X$4:X$195,3),3,4)))</f>
        <v>2</v>
      </c>
      <c r="Y100" s="27">
        <f>IF(Data!Y100&lt;=QUARTILE(Data!Y$4:Y$195,1),1,IF(Data!Y100&lt;=MEDIAN(Data!Y$4:Y$195),2,IF(Data!Y100&lt;=QUARTILE(Data!Y$4:Y$195,3),3,4)))</f>
        <v>3</v>
      </c>
      <c r="Z100" s="21">
        <f>IF(Data!Z100&lt;=QUARTILE(Data!Z$4:Z$195,1),1,IF(Data!Z100&lt;=MEDIAN(Data!Z$4:Z$195),2,IF(Data!Z100&lt;=QUARTILE(Data!Z$4:Z$195,3),3,4)))</f>
        <v>3</v>
      </c>
      <c r="AA100" s="24">
        <f>IF(Data!AA100&lt;=QUARTILE(Data!AA$4:AA$195,1),1,IF(Data!AA100&lt;=MEDIAN(Data!AA$4:AA$195),2,IF(Data!AA100&lt;=QUARTILE(Data!AA$4:AA$195,3),3,4)))</f>
        <v>1</v>
      </c>
      <c r="AB100" s="21">
        <f>IF(Data!AB100&lt;=QUARTILE(Data!AB$4:AB$195,1),1,IF(Data!AB100&lt;=MEDIAN(Data!AB$4:AB$195),2,IF(Data!AB100&lt;=QUARTILE(Data!AB$4:AB$195,3),3,4)))</f>
        <v>2</v>
      </c>
      <c r="AC100" s="24">
        <f>IF(Data!AC100&lt;=QUARTILE(Data!AC$4:AC$195,1),1,IF(Data!AC100&lt;=MEDIAN(Data!AC$4:AC$195),2,IF(Data!AC100&lt;=QUARTILE(Data!AC$4:AC$195,3),3,4)))</f>
        <v>3</v>
      </c>
      <c r="AD100" s="21">
        <f>IF(Data!AD100&lt;=QUARTILE(Data!AD$4:AD$195,1),1,IF(Data!AD100&lt;=MEDIAN(Data!AD$4:AD$195),2,IF(Data!AD100&lt;=QUARTILE(Data!AD$4:AD$195,3),3,4)))</f>
        <v>4</v>
      </c>
      <c r="AE100" s="27">
        <f>IF(Data!AE100&lt;=QUARTILE(Data!AE$4:AE$195,1),1,IF(Data!AE100&lt;=MEDIAN(Data!AE$4:AE$195),2,IF(Data!AE100&lt;=QUARTILE(Data!AE$4:AE$195,3),3,4)))</f>
        <v>3</v>
      </c>
      <c r="AF100" s="27">
        <f>IF(Data!AF100&lt;=QUARTILE(Data!AF$4:AF$195,1),1,IF(Data!AF100&lt;=MEDIAN(Data!AF$4:AF$195),2,IF(Data!AF100&lt;=QUARTILE(Data!AF$4:AF$195,3),3,4)))</f>
        <v>4</v>
      </c>
      <c r="AG100" s="27">
        <f>IF(Data!AG100&lt;=QUARTILE(Data!AG$4:AG$195,1),1,IF(Data!AG100&lt;=MEDIAN(Data!AG$4:AG$195),2,IF(Data!AG100&lt;=QUARTILE(Data!AG$4:AG$195,3),3,4)))</f>
        <v>4</v>
      </c>
      <c r="AH100" s="21">
        <f>IF(Data!AH100&lt;=QUARTILE(Data!AH$4:AH$195,1),1,IF(Data!AH100&lt;=MEDIAN(Data!AH$4:AH$195),2,IF(Data!AH100&lt;=QUARTILE(Data!AH$4:AH$195,3),3,4)))</f>
        <v>2</v>
      </c>
      <c r="AI100" s="24">
        <f>IF(Data!AI100&lt;=QUARTILE(Data!AI$4:AI$195,1),1,IF(Data!AI100&lt;=MEDIAN(Data!AI$4:AI$195),2,IF(Data!AI100&lt;=QUARTILE(Data!AI$4:AI$195,3),3,4)))</f>
        <v>1</v>
      </c>
      <c r="AJ100" s="21">
        <f>IF(Data!AJ100&lt;=QUARTILE(Data!AJ$4:AJ$195,1),1,IF(Data!AJ100&lt;=MEDIAN(Data!AJ$4:AJ$195),2,IF(Data!AJ100&lt;=QUARTILE(Data!AJ$4:AJ$195,3),3,4)))</f>
        <v>2</v>
      </c>
      <c r="AK100" s="24">
        <f>IF(Data!AK100&lt;=QUARTILE(Data!AK$4:AK$195,1),1,IF(Data!AK100&lt;=MEDIAN(Data!AK$4:AK$195),2,IF(Data!AK100&lt;=QUARTILE(Data!AK$4:AK$195,3),3,4)))</f>
        <v>4</v>
      </c>
      <c r="AL100" s="27">
        <f>IF(Data!AL100&lt;=QUARTILE(Data!AL$4:AL$195,1),1,IF(Data!AL100&lt;=MEDIAN(Data!AL$4:AL$195),2,IF(Data!AL100&lt;=QUARTILE(Data!AL$4:AL$195,3),3,4)))</f>
        <v>4</v>
      </c>
      <c r="AM100" s="27">
        <f>IF(Data!AM100&lt;=QUARTILE(Data!AM$4:AM$195,1),1,IF(Data!AM100&lt;=MEDIAN(Data!AM$4:AM$195),2,IF(Data!AM100&lt;=QUARTILE(Data!AM$4:AM$195,3),3,4)))</f>
        <v>3</v>
      </c>
      <c r="AN100" s="21">
        <f>IF(Data!AN100&lt;=QUARTILE(Data!AN$4:AN$195,1),1,IF(Data!AN100&lt;=MEDIAN(Data!AN$4:AN$195),2,IF(Data!AN100&lt;=QUARTILE(Data!AN$4:AN$195,3),3,4)))</f>
        <v>4</v>
      </c>
      <c r="AO100" s="27">
        <f>IF(Data!AO100&lt;=QUARTILE(Data!AO$4:AO$195,1),1,IF(Data!AO100&lt;=MEDIAN(Data!AO$4:AO$195),2,IF(Data!AO100&lt;=QUARTILE(Data!AO$4:AO$195,3),3,4)))</f>
        <v>3</v>
      </c>
      <c r="AP100" s="27">
        <f>IF(Data!AP100&lt;=QUARTILE(Data!AP$4:AP$195,1),1,IF(Data!AP100&lt;=MEDIAN(Data!AP$4:AP$195),2,IF(Data!AP100&lt;=QUARTILE(Data!AP$4:AP$195,3),3,4)))</f>
        <v>3</v>
      </c>
      <c r="AQ100" s="27">
        <f>IF(Data!AQ100&lt;=QUARTILE(Data!AQ$4:AQ$195,1),1,IF(Data!AQ100&lt;=MEDIAN(Data!AQ$4:AQ$195),2,IF(Data!AQ100&lt;=QUARTILE(Data!AQ$4:AQ$195,3),3,4)))</f>
        <v>4</v>
      </c>
      <c r="AR100" s="27">
        <f>IF(Data!AR100&lt;=QUARTILE(Data!AR$4:AR$195,1),1,IF(Data!AR100&lt;=MEDIAN(Data!AR$4:AR$195),2,IF(Data!AR100&lt;=QUARTILE(Data!AR$4:AR$195,3),3,4)))</f>
        <v>2</v>
      </c>
      <c r="AS100" s="27">
        <f>IF(Data!AS100&lt;=QUARTILE(Data!AS$4:AS$195,1),1,IF(Data!AS100&lt;=MEDIAN(Data!AS$4:AS$195),2,IF(Data!AS100&lt;=QUARTILE(Data!AS$4:AS$195,3),3,4)))</f>
        <v>3</v>
      </c>
      <c r="AT100" s="27">
        <f>IF(Data!AT100&lt;=QUARTILE(Data!AT$4:AT$195,1),1,IF(Data!AT100&lt;=MEDIAN(Data!AT$4:AT$195),2,IF(Data!AT100&lt;=QUARTILE(Data!AT$4:AT$195,3),3,4)))</f>
        <v>3</v>
      </c>
      <c r="AU100" s="21">
        <f>IF(Data!AU100&lt;=QUARTILE(Data!AU$4:AU$195,1),1,IF(Data!AU100&lt;=MEDIAN(Data!AU$4:AU$195),2,IF(Data!AU100&lt;=QUARTILE(Data!AU$4:AU$195,3),3,4)))</f>
        <v>3</v>
      </c>
      <c r="AV100" s="24">
        <f>IF(Data!AV100&lt;=QUARTILE(Data!AV$4:AV$195,1),1,IF(Data!AV100&lt;=MEDIAN(Data!AV$4:AV$195),2,IF(Data!AV100&lt;=QUARTILE(Data!AV$4:AV$195,3),3,4)))</f>
        <v>3</v>
      </c>
      <c r="AW100" s="27">
        <f>IF(Data!AW100&lt;=QUARTILE(Data!AW$4:AW$195,1),1,IF(Data!AW100&lt;=MEDIAN(Data!AW$4:AW$195),2,IF(Data!AW100&lt;=QUARTILE(Data!AW$4:AW$195,3),3,4)))</f>
        <v>3</v>
      </c>
      <c r="AX100" s="27">
        <f>IF(Data!AX100&lt;=QUARTILE(Data!AX$4:AX$195,1),1,IF(Data!AX100&lt;=MEDIAN(Data!AX$4:AX$195),2,IF(Data!AX100&lt;=QUARTILE(Data!AX$4:AX$195,3),3,4)))</f>
        <v>3</v>
      </c>
      <c r="AY100" s="21">
        <f>IF(Data!AY100&lt;=QUARTILE(Data!AY$4:AY$195,1),1,IF(Data!AY100&lt;=MEDIAN(Data!AY$4:AY$195),2,IF(Data!AY100&lt;=QUARTILE(Data!AY$4:AY$195,3),3,4)))</f>
        <v>4</v>
      </c>
      <c r="AZ100" s="24">
        <f>IF(Data!AZ100&lt;=QUARTILE(Data!AZ$4:AZ$195,1),1,IF(Data!AZ100&lt;=MEDIAN(Data!AZ$4:AZ$195),2,IF(Data!AZ100&lt;=QUARTILE(Data!AZ$4:AZ$195,3),3,4)))</f>
        <v>2</v>
      </c>
      <c r="BA100" s="21">
        <f>IF(Data!BA100&lt;=QUARTILE(Data!BA$4:BA$195,1),1,IF(Data!BA100&lt;=MEDIAN(Data!BA$4:BA$195),2,IF(Data!BA100&lt;=QUARTILE(Data!BA$4:BA$195,3),3,4)))</f>
        <v>4</v>
      </c>
    </row>
    <row r="101" spans="1:53" x14ac:dyDescent="0.25">
      <c r="A101" s="4" t="s">
        <v>28</v>
      </c>
      <c r="B101" s="40">
        <v>2006</v>
      </c>
      <c r="C101" s="25">
        <v>7</v>
      </c>
      <c r="D101" s="28">
        <v>9</v>
      </c>
      <c r="E101" s="77" t="s">
        <v>96</v>
      </c>
      <c r="F101" s="28">
        <v>-3</v>
      </c>
      <c r="G101" s="28">
        <v>-2.8</v>
      </c>
      <c r="H101" s="22">
        <v>-0.2</v>
      </c>
      <c r="I101" s="25">
        <f>IF(Data!I101&lt;=QUARTILE(Data!I$4:I$195,1),1,IF(Data!I101&lt;=MEDIAN(Data!I$4:I$195),2,IF(Data!I101&lt;=QUARTILE(Data!I$4:I$195,3),3,4)))</f>
        <v>2</v>
      </c>
      <c r="J101" s="28">
        <f>IF(Data!J101&lt;=QUARTILE(Data!J$4:J$195,1),1,IF(Data!J101&lt;=MEDIAN(Data!J$4:J$195),2,IF(Data!J101&lt;=QUARTILE(Data!J$4:J$195,3),3,4)))</f>
        <v>3</v>
      </c>
      <c r="K101" s="28">
        <f>IF(Data!K101&lt;=QUARTILE(Data!K$4:K$195,1),1,IF(Data!K101&lt;=MEDIAN(Data!K$4:K$195),2,IF(Data!K101&lt;=QUARTILE(Data!K$4:K$195,3),3,4)))</f>
        <v>2</v>
      </c>
      <c r="L101" s="22">
        <f>IF(Data!L101&lt;=QUARTILE(Data!L$4:L$195,1),1,IF(Data!L101&lt;=MEDIAN(Data!L$4:L$195),2,IF(Data!L101&lt;=QUARTILE(Data!L$4:L$195,3),3,4)))</f>
        <v>2</v>
      </c>
      <c r="M101" s="28">
        <f>IF(Data!M101&lt;=QUARTILE(Data!M$4:M$195,1),1,IF(Data!M101&lt;=MEDIAN(Data!M$4:M$195),2,IF(Data!M101&lt;=QUARTILE(Data!M$4:M$195,3),3,4)))</f>
        <v>1</v>
      </c>
      <c r="N101" s="28">
        <f>IF(Data!N101&lt;=QUARTILE(Data!N$4:N$195,1),1,IF(Data!N101&lt;=MEDIAN(Data!N$4:N$195),2,IF(Data!N101&lt;=QUARTILE(Data!N$4:N$195,3),3,4)))</f>
        <v>1</v>
      </c>
      <c r="O101" s="28">
        <f>IF(Data!O101&lt;=QUARTILE(Data!O$4:O$195,1),1,IF(Data!O101&lt;=MEDIAN(Data!O$4:O$195),2,IF(Data!O101&lt;=QUARTILE(Data!O$4:O$195,3),3,4)))</f>
        <v>1</v>
      </c>
      <c r="P101" s="28">
        <f>IF(Data!P101&lt;=QUARTILE(Data!P$4:P$195,1),1,IF(Data!P101&lt;=MEDIAN(Data!P$4:P$195),2,IF(Data!P101&lt;=QUARTILE(Data!P$4:P$195,3),3,4)))</f>
        <v>2</v>
      </c>
      <c r="Q101" s="28">
        <f>IF(Data!Q101&lt;=QUARTILE(Data!Q$4:Q$195,1),1,IF(Data!Q101&lt;=MEDIAN(Data!Q$4:Q$195),2,IF(Data!Q101&lt;=QUARTILE(Data!Q$4:Q$195,3),3,4)))</f>
        <v>1</v>
      </c>
      <c r="R101" s="28">
        <f>IF(Data!R101&lt;=QUARTILE(Data!R$4:R$195,1),1,IF(Data!R101&lt;=MEDIAN(Data!R$4:R$195),2,IF(Data!R101&lt;=QUARTILE(Data!R$4:R$195,3),3,4)))</f>
        <v>2</v>
      </c>
      <c r="S101" s="28">
        <f>IF(Data!S101&lt;=QUARTILE(Data!S$4:S$195,1),1,IF(Data!S101&lt;=MEDIAN(Data!S$4:S$195),2,IF(Data!S101&lt;=QUARTILE(Data!S$4:S$195,3),3,4)))</f>
        <v>4</v>
      </c>
      <c r="T101" s="22">
        <f>IF(Data!T101&lt;=QUARTILE(Data!T$4:T$195,1),1,IF(Data!T101&lt;=MEDIAN(Data!T$4:T$195),2,IF(Data!T101&lt;=QUARTILE(Data!T$4:T$195,3),3,4)))</f>
        <v>4</v>
      </c>
      <c r="U101" s="25">
        <f>IF(Data!U101&lt;=QUARTILE(Data!U$4:U$195,1),1,IF(Data!U101&lt;=MEDIAN(Data!U$4:U$195),2,IF(Data!U101&lt;=QUARTILE(Data!U$4:U$195,3),3,4)))</f>
        <v>4</v>
      </c>
      <c r="V101" s="28">
        <f>IF(Data!V101&lt;=QUARTILE(Data!V$4:V$195,1),1,IF(Data!V101&lt;=MEDIAN(Data!V$4:V$195),2,IF(Data!V101&lt;=QUARTILE(Data!V$4:V$195,3),3,4)))</f>
        <v>4</v>
      </c>
      <c r="W101" s="28">
        <f>IF(Data!W101&lt;=QUARTILE(Data!W$4:W$195,1),1,IF(Data!W101&lt;=MEDIAN(Data!W$4:W$195),2,IF(Data!W101&lt;=QUARTILE(Data!W$4:W$195,3),3,4)))</f>
        <v>1</v>
      </c>
      <c r="X101" s="22">
        <f>IF(Data!X101&lt;=QUARTILE(Data!X$4:X$195,1),1,IF(Data!X101&lt;=MEDIAN(Data!X$4:X$195),2,IF(Data!X101&lt;=QUARTILE(Data!X$4:X$195,3),3,4)))</f>
        <v>4</v>
      </c>
      <c r="Y101" s="28">
        <f>IF(Data!Y101&lt;=QUARTILE(Data!Y$4:Y$195,1),1,IF(Data!Y101&lt;=MEDIAN(Data!Y$4:Y$195),2,IF(Data!Y101&lt;=QUARTILE(Data!Y$4:Y$195,3),3,4)))</f>
        <v>2</v>
      </c>
      <c r="Z101" s="22">
        <f>IF(Data!Z101&lt;=QUARTILE(Data!Z$4:Z$195,1),1,IF(Data!Z101&lt;=MEDIAN(Data!Z$4:Z$195),2,IF(Data!Z101&lt;=QUARTILE(Data!Z$4:Z$195,3),3,4)))</f>
        <v>1</v>
      </c>
      <c r="AA101" s="25">
        <f>IF(Data!AA101&lt;=QUARTILE(Data!AA$4:AA$195,1),1,IF(Data!AA101&lt;=MEDIAN(Data!AA$4:AA$195),2,IF(Data!AA101&lt;=QUARTILE(Data!AA$4:AA$195,3),3,4)))</f>
        <v>3</v>
      </c>
      <c r="AB101" s="22">
        <f>IF(Data!AB101&lt;=QUARTILE(Data!AB$4:AB$195,1),1,IF(Data!AB101&lt;=MEDIAN(Data!AB$4:AB$195),2,IF(Data!AB101&lt;=QUARTILE(Data!AB$4:AB$195,3),3,4)))</f>
        <v>2</v>
      </c>
      <c r="AC101" s="25">
        <f>IF(Data!AC101&lt;=QUARTILE(Data!AC$4:AC$195,1),1,IF(Data!AC101&lt;=MEDIAN(Data!AC$4:AC$195),2,IF(Data!AC101&lt;=QUARTILE(Data!AC$4:AC$195,3),3,4)))</f>
        <v>3</v>
      </c>
      <c r="AD101" s="22">
        <f>IF(Data!AD101&lt;=QUARTILE(Data!AD$4:AD$195,1),1,IF(Data!AD101&lt;=MEDIAN(Data!AD$4:AD$195),2,IF(Data!AD101&lt;=QUARTILE(Data!AD$4:AD$195,3),3,4)))</f>
        <v>3</v>
      </c>
      <c r="AE101" s="28">
        <f>IF(Data!AE101&lt;=QUARTILE(Data!AE$4:AE$195,1),1,IF(Data!AE101&lt;=MEDIAN(Data!AE$4:AE$195),2,IF(Data!AE101&lt;=QUARTILE(Data!AE$4:AE$195,3),3,4)))</f>
        <v>3</v>
      </c>
      <c r="AF101" s="28">
        <f>IF(Data!AF101&lt;=QUARTILE(Data!AF$4:AF$195,1),1,IF(Data!AF101&lt;=MEDIAN(Data!AF$4:AF$195),2,IF(Data!AF101&lt;=QUARTILE(Data!AF$4:AF$195,3),3,4)))</f>
        <v>2</v>
      </c>
      <c r="AG101" s="28">
        <f>IF(Data!AG101&lt;=QUARTILE(Data!AG$4:AG$195,1),1,IF(Data!AG101&lt;=MEDIAN(Data!AG$4:AG$195),2,IF(Data!AG101&lt;=QUARTILE(Data!AG$4:AG$195,3),3,4)))</f>
        <v>3</v>
      </c>
      <c r="AH101" s="22">
        <f>IF(Data!AH101&lt;=QUARTILE(Data!AH$4:AH$195,1),1,IF(Data!AH101&lt;=MEDIAN(Data!AH$4:AH$195),2,IF(Data!AH101&lt;=QUARTILE(Data!AH$4:AH$195,3),3,4)))</f>
        <v>2</v>
      </c>
      <c r="AI101" s="25">
        <f>IF(Data!AI101&lt;=QUARTILE(Data!AI$4:AI$195,1),1,IF(Data!AI101&lt;=MEDIAN(Data!AI$4:AI$195),2,IF(Data!AI101&lt;=QUARTILE(Data!AI$4:AI$195,3),3,4)))</f>
        <v>3</v>
      </c>
      <c r="AJ101" s="22">
        <f>IF(Data!AJ101&lt;=QUARTILE(Data!AJ$4:AJ$195,1),1,IF(Data!AJ101&lt;=MEDIAN(Data!AJ$4:AJ$195),2,IF(Data!AJ101&lt;=QUARTILE(Data!AJ$4:AJ$195,3),3,4)))</f>
        <v>3</v>
      </c>
      <c r="AK101" s="25">
        <f>IF(Data!AK101&lt;=QUARTILE(Data!AK$4:AK$195,1),1,IF(Data!AK101&lt;=MEDIAN(Data!AK$4:AK$195),2,IF(Data!AK101&lt;=QUARTILE(Data!AK$4:AK$195,3),3,4)))</f>
        <v>2</v>
      </c>
      <c r="AL101" s="28">
        <f>IF(Data!AL101&lt;=QUARTILE(Data!AL$4:AL$195,1),1,IF(Data!AL101&lt;=MEDIAN(Data!AL$4:AL$195),2,IF(Data!AL101&lt;=QUARTILE(Data!AL$4:AL$195,3),3,4)))</f>
        <v>3</v>
      </c>
      <c r="AM101" s="28">
        <f>IF(Data!AM101&lt;=QUARTILE(Data!AM$4:AM$195,1),1,IF(Data!AM101&lt;=MEDIAN(Data!AM$4:AM$195),2,IF(Data!AM101&lt;=QUARTILE(Data!AM$4:AM$195,3),3,4)))</f>
        <v>2</v>
      </c>
      <c r="AN101" s="22">
        <f>IF(Data!AN101&lt;=QUARTILE(Data!AN$4:AN$195,1),1,IF(Data!AN101&lt;=MEDIAN(Data!AN$4:AN$195),2,IF(Data!AN101&lt;=QUARTILE(Data!AN$4:AN$195,3),3,4)))</f>
        <v>3</v>
      </c>
      <c r="AO101" s="28">
        <f>IF(Data!AO101&lt;=QUARTILE(Data!AO$4:AO$195,1),1,IF(Data!AO101&lt;=MEDIAN(Data!AO$4:AO$195),2,IF(Data!AO101&lt;=QUARTILE(Data!AO$4:AO$195,3),3,4)))</f>
        <v>3</v>
      </c>
      <c r="AP101" s="28">
        <f>IF(Data!AP101&lt;=QUARTILE(Data!AP$4:AP$195,1),1,IF(Data!AP101&lt;=MEDIAN(Data!AP$4:AP$195),2,IF(Data!AP101&lt;=QUARTILE(Data!AP$4:AP$195,3),3,4)))</f>
        <v>2</v>
      </c>
      <c r="AQ101" s="28">
        <f>IF(Data!AQ101&lt;=QUARTILE(Data!AQ$4:AQ$195,1),1,IF(Data!AQ101&lt;=MEDIAN(Data!AQ$4:AQ$195),2,IF(Data!AQ101&lt;=QUARTILE(Data!AQ$4:AQ$195,3),3,4)))</f>
        <v>4</v>
      </c>
      <c r="AR101" s="28">
        <f>IF(Data!AR101&lt;=QUARTILE(Data!AR$4:AR$195,1),1,IF(Data!AR101&lt;=MEDIAN(Data!AR$4:AR$195),2,IF(Data!AR101&lt;=QUARTILE(Data!AR$4:AR$195,3),3,4)))</f>
        <v>2</v>
      </c>
      <c r="AS101" s="28">
        <f>IF(Data!AS101&lt;=QUARTILE(Data!AS$4:AS$195,1),1,IF(Data!AS101&lt;=MEDIAN(Data!AS$4:AS$195),2,IF(Data!AS101&lt;=QUARTILE(Data!AS$4:AS$195,3),3,4)))</f>
        <v>3</v>
      </c>
      <c r="AT101" s="28">
        <f>IF(Data!AT101&lt;=QUARTILE(Data!AT$4:AT$195,1),1,IF(Data!AT101&lt;=MEDIAN(Data!AT$4:AT$195),2,IF(Data!AT101&lt;=QUARTILE(Data!AT$4:AT$195,3),3,4)))</f>
        <v>3</v>
      </c>
      <c r="AU101" s="22">
        <f>IF(Data!AU101&lt;=QUARTILE(Data!AU$4:AU$195,1),1,IF(Data!AU101&lt;=MEDIAN(Data!AU$4:AU$195),2,IF(Data!AU101&lt;=QUARTILE(Data!AU$4:AU$195,3),3,4)))</f>
        <v>3</v>
      </c>
      <c r="AV101" s="25">
        <f>IF(Data!AV101&lt;=QUARTILE(Data!AV$4:AV$195,1),1,IF(Data!AV101&lt;=MEDIAN(Data!AV$4:AV$195),2,IF(Data!AV101&lt;=QUARTILE(Data!AV$4:AV$195,3),3,4)))</f>
        <v>2</v>
      </c>
      <c r="AW101" s="28">
        <f>IF(Data!AW101&lt;=QUARTILE(Data!AW$4:AW$195,1),1,IF(Data!AW101&lt;=MEDIAN(Data!AW$4:AW$195),2,IF(Data!AW101&lt;=QUARTILE(Data!AW$4:AW$195,3),3,4)))</f>
        <v>2</v>
      </c>
      <c r="AX101" s="28">
        <f>IF(Data!AX101&lt;=QUARTILE(Data!AX$4:AX$195,1),1,IF(Data!AX101&lt;=MEDIAN(Data!AX$4:AX$195),2,IF(Data!AX101&lt;=QUARTILE(Data!AX$4:AX$195,3),3,4)))</f>
        <v>3</v>
      </c>
      <c r="AY101" s="22">
        <f>IF(Data!AY101&lt;=QUARTILE(Data!AY$4:AY$195,1),1,IF(Data!AY101&lt;=MEDIAN(Data!AY$4:AY$195),2,IF(Data!AY101&lt;=QUARTILE(Data!AY$4:AY$195,3),3,4)))</f>
        <v>2</v>
      </c>
      <c r="AZ101" s="25">
        <f>IF(Data!AZ101&lt;=QUARTILE(Data!AZ$4:AZ$195,1),1,IF(Data!AZ101&lt;=MEDIAN(Data!AZ$4:AZ$195),2,IF(Data!AZ101&lt;=QUARTILE(Data!AZ$4:AZ$195,3),3,4)))</f>
        <v>1</v>
      </c>
      <c r="BA101" s="22">
        <f>IF(Data!BA101&lt;=QUARTILE(Data!BA$4:BA$195,1),1,IF(Data!BA101&lt;=MEDIAN(Data!BA$4:BA$195),2,IF(Data!BA101&lt;=QUARTILE(Data!BA$4:BA$195,3),3,4)))</f>
        <v>3</v>
      </c>
    </row>
    <row r="102" spans="1:53" x14ac:dyDescent="0.25">
      <c r="A102" s="4" t="s">
        <v>8</v>
      </c>
      <c r="B102" s="40">
        <v>2006</v>
      </c>
      <c r="C102" s="25">
        <v>13</v>
      </c>
      <c r="D102" s="28">
        <v>3</v>
      </c>
      <c r="E102" s="77" t="s">
        <v>97</v>
      </c>
      <c r="F102" s="28">
        <v>9.3000000000000007</v>
      </c>
      <c r="G102" s="28">
        <v>1.5</v>
      </c>
      <c r="H102" s="22">
        <v>7.8</v>
      </c>
      <c r="I102" s="25">
        <f>IF(Data!I102&lt;=QUARTILE(Data!I$4:I$195,1),1,IF(Data!I102&lt;=MEDIAN(Data!I$4:I$195),2,IF(Data!I102&lt;=QUARTILE(Data!I$4:I$195,3),3,4)))</f>
        <v>3</v>
      </c>
      <c r="J102" s="28">
        <f>IF(Data!J102&lt;=QUARTILE(Data!J$4:J$195,1),1,IF(Data!J102&lt;=MEDIAN(Data!J$4:J$195),2,IF(Data!J102&lt;=QUARTILE(Data!J$4:J$195,3),3,4)))</f>
        <v>2</v>
      </c>
      <c r="K102" s="28">
        <f>IF(Data!K102&lt;=QUARTILE(Data!K$4:K$195,1),1,IF(Data!K102&lt;=MEDIAN(Data!K$4:K$195),2,IF(Data!K102&lt;=QUARTILE(Data!K$4:K$195,3),3,4)))</f>
        <v>3</v>
      </c>
      <c r="L102" s="22">
        <f>IF(Data!L102&lt;=QUARTILE(Data!L$4:L$195,1),1,IF(Data!L102&lt;=MEDIAN(Data!L$4:L$195),2,IF(Data!L102&lt;=QUARTILE(Data!L$4:L$195,3),3,4)))</f>
        <v>2</v>
      </c>
      <c r="M102" s="28">
        <f>IF(Data!M102&lt;=QUARTILE(Data!M$4:M$195,1),1,IF(Data!M102&lt;=MEDIAN(Data!M$4:M$195),2,IF(Data!M102&lt;=QUARTILE(Data!M$4:M$195,3),3,4)))</f>
        <v>3</v>
      </c>
      <c r="N102" s="28">
        <f>IF(Data!N102&lt;=QUARTILE(Data!N$4:N$195,1),1,IF(Data!N102&lt;=MEDIAN(Data!N$4:N$195),2,IF(Data!N102&lt;=QUARTILE(Data!N$4:N$195,3),3,4)))</f>
        <v>2</v>
      </c>
      <c r="O102" s="28">
        <f>IF(Data!O102&lt;=QUARTILE(Data!O$4:O$195,1),1,IF(Data!O102&lt;=MEDIAN(Data!O$4:O$195),2,IF(Data!O102&lt;=QUARTILE(Data!O$4:O$195,3),3,4)))</f>
        <v>3</v>
      </c>
      <c r="P102" s="28">
        <f>IF(Data!P102&lt;=QUARTILE(Data!P$4:P$195,1),1,IF(Data!P102&lt;=MEDIAN(Data!P$4:P$195),2,IF(Data!P102&lt;=QUARTILE(Data!P$4:P$195,3),3,4)))</f>
        <v>2</v>
      </c>
      <c r="Q102" s="28">
        <f>IF(Data!Q102&lt;=QUARTILE(Data!Q$4:Q$195,1),1,IF(Data!Q102&lt;=MEDIAN(Data!Q$4:Q$195),2,IF(Data!Q102&lt;=QUARTILE(Data!Q$4:Q$195,3),3,4)))</f>
        <v>3</v>
      </c>
      <c r="R102" s="28">
        <f>IF(Data!R102&lt;=QUARTILE(Data!R$4:R$195,1),1,IF(Data!R102&lt;=MEDIAN(Data!R$4:R$195),2,IF(Data!R102&lt;=QUARTILE(Data!R$4:R$195,3),3,4)))</f>
        <v>3</v>
      </c>
      <c r="S102" s="28">
        <f>IF(Data!S102&lt;=QUARTILE(Data!S$4:S$195,1),1,IF(Data!S102&lt;=MEDIAN(Data!S$4:S$195),2,IF(Data!S102&lt;=QUARTILE(Data!S$4:S$195,3),3,4)))</f>
        <v>1</v>
      </c>
      <c r="T102" s="22">
        <f>IF(Data!T102&lt;=QUARTILE(Data!T$4:T$195,1),1,IF(Data!T102&lt;=MEDIAN(Data!T$4:T$195),2,IF(Data!T102&lt;=QUARTILE(Data!T$4:T$195,3),3,4)))</f>
        <v>1</v>
      </c>
      <c r="U102" s="25">
        <f>IF(Data!U102&lt;=QUARTILE(Data!U$4:U$195,1),1,IF(Data!U102&lt;=MEDIAN(Data!U$4:U$195),2,IF(Data!U102&lt;=QUARTILE(Data!U$4:U$195,3),3,4)))</f>
        <v>3</v>
      </c>
      <c r="V102" s="28">
        <f>IF(Data!V102&lt;=QUARTILE(Data!V$4:V$195,1),1,IF(Data!V102&lt;=MEDIAN(Data!V$4:V$195),2,IF(Data!V102&lt;=QUARTILE(Data!V$4:V$195,3),3,4)))</f>
        <v>2</v>
      </c>
      <c r="W102" s="28">
        <f>IF(Data!W102&lt;=QUARTILE(Data!W$4:W$195,1),1,IF(Data!W102&lt;=MEDIAN(Data!W$4:W$195),2,IF(Data!W102&lt;=QUARTILE(Data!W$4:W$195,3),3,4)))</f>
        <v>2</v>
      </c>
      <c r="X102" s="22">
        <f>IF(Data!X102&lt;=QUARTILE(Data!X$4:X$195,1),1,IF(Data!X102&lt;=MEDIAN(Data!X$4:X$195),2,IF(Data!X102&lt;=QUARTILE(Data!X$4:X$195,3),3,4)))</f>
        <v>2</v>
      </c>
      <c r="Y102" s="28">
        <f>IF(Data!Y102&lt;=QUARTILE(Data!Y$4:Y$195,1),1,IF(Data!Y102&lt;=MEDIAN(Data!Y$4:Y$195),2,IF(Data!Y102&lt;=QUARTILE(Data!Y$4:Y$195,3),3,4)))</f>
        <v>2</v>
      </c>
      <c r="Z102" s="22">
        <f>IF(Data!Z102&lt;=QUARTILE(Data!Z$4:Z$195,1),1,IF(Data!Z102&lt;=MEDIAN(Data!Z$4:Z$195),2,IF(Data!Z102&lt;=QUARTILE(Data!Z$4:Z$195,3),3,4)))</f>
        <v>1</v>
      </c>
      <c r="AA102" s="25">
        <f>IF(Data!AA102&lt;=QUARTILE(Data!AA$4:AA$195,1),1,IF(Data!AA102&lt;=MEDIAN(Data!AA$4:AA$195),2,IF(Data!AA102&lt;=QUARTILE(Data!AA$4:AA$195,3),3,4)))</f>
        <v>4</v>
      </c>
      <c r="AB102" s="22">
        <f>IF(Data!AB102&lt;=QUARTILE(Data!AB$4:AB$195,1),1,IF(Data!AB102&lt;=MEDIAN(Data!AB$4:AB$195),2,IF(Data!AB102&lt;=QUARTILE(Data!AB$4:AB$195,3),3,4)))</f>
        <v>3</v>
      </c>
      <c r="AC102" s="25">
        <f>IF(Data!AC102&lt;=QUARTILE(Data!AC$4:AC$195,1),1,IF(Data!AC102&lt;=MEDIAN(Data!AC$4:AC$195),2,IF(Data!AC102&lt;=QUARTILE(Data!AC$4:AC$195,3),3,4)))</f>
        <v>1</v>
      </c>
      <c r="AD102" s="22">
        <f>IF(Data!AD102&lt;=QUARTILE(Data!AD$4:AD$195,1),1,IF(Data!AD102&lt;=MEDIAN(Data!AD$4:AD$195),2,IF(Data!AD102&lt;=QUARTILE(Data!AD$4:AD$195,3),3,4)))</f>
        <v>1</v>
      </c>
      <c r="AE102" s="28">
        <f>IF(Data!AE102&lt;=QUARTILE(Data!AE$4:AE$195,1),1,IF(Data!AE102&lt;=MEDIAN(Data!AE$4:AE$195),2,IF(Data!AE102&lt;=QUARTILE(Data!AE$4:AE$195,3),3,4)))</f>
        <v>4</v>
      </c>
      <c r="AF102" s="28">
        <f>IF(Data!AF102&lt;=QUARTILE(Data!AF$4:AF$195,1),1,IF(Data!AF102&lt;=MEDIAN(Data!AF$4:AF$195),2,IF(Data!AF102&lt;=QUARTILE(Data!AF$4:AF$195,3),3,4)))</f>
        <v>4</v>
      </c>
      <c r="AG102" s="28">
        <f>IF(Data!AG102&lt;=QUARTILE(Data!AG$4:AG$195,1),1,IF(Data!AG102&lt;=MEDIAN(Data!AG$4:AG$195),2,IF(Data!AG102&lt;=QUARTILE(Data!AG$4:AG$195,3),3,4)))</f>
        <v>1</v>
      </c>
      <c r="AH102" s="22">
        <f>IF(Data!AH102&lt;=QUARTILE(Data!AH$4:AH$195,1),1,IF(Data!AH102&lt;=MEDIAN(Data!AH$4:AH$195),2,IF(Data!AH102&lt;=QUARTILE(Data!AH$4:AH$195,3),3,4)))</f>
        <v>2</v>
      </c>
      <c r="AI102" s="25">
        <f>IF(Data!AI102&lt;=QUARTILE(Data!AI$4:AI$195,1),1,IF(Data!AI102&lt;=MEDIAN(Data!AI$4:AI$195),2,IF(Data!AI102&lt;=QUARTILE(Data!AI$4:AI$195,3),3,4)))</f>
        <v>4</v>
      </c>
      <c r="AJ102" s="22">
        <f>IF(Data!AJ102&lt;=QUARTILE(Data!AJ$4:AJ$195,1),1,IF(Data!AJ102&lt;=MEDIAN(Data!AJ$4:AJ$195),2,IF(Data!AJ102&lt;=QUARTILE(Data!AJ$4:AJ$195,3),3,4)))</f>
        <v>4</v>
      </c>
      <c r="AK102" s="25">
        <f>IF(Data!AK102&lt;=QUARTILE(Data!AK$4:AK$195,1),1,IF(Data!AK102&lt;=MEDIAN(Data!AK$4:AK$195),2,IF(Data!AK102&lt;=QUARTILE(Data!AK$4:AK$195,3),3,4)))</f>
        <v>1</v>
      </c>
      <c r="AL102" s="28">
        <f>IF(Data!AL102&lt;=QUARTILE(Data!AL$4:AL$195,1),1,IF(Data!AL102&lt;=MEDIAN(Data!AL$4:AL$195),2,IF(Data!AL102&lt;=QUARTILE(Data!AL$4:AL$195,3),3,4)))</f>
        <v>1</v>
      </c>
      <c r="AM102" s="28">
        <f>IF(Data!AM102&lt;=QUARTILE(Data!AM$4:AM$195,1),1,IF(Data!AM102&lt;=MEDIAN(Data!AM$4:AM$195),2,IF(Data!AM102&lt;=QUARTILE(Data!AM$4:AM$195,3),3,4)))</f>
        <v>1</v>
      </c>
      <c r="AN102" s="22">
        <f>IF(Data!AN102&lt;=QUARTILE(Data!AN$4:AN$195,1),1,IF(Data!AN102&lt;=MEDIAN(Data!AN$4:AN$195),2,IF(Data!AN102&lt;=QUARTILE(Data!AN$4:AN$195,3),3,4)))</f>
        <v>1</v>
      </c>
      <c r="AO102" s="28">
        <f>IF(Data!AO102&lt;=QUARTILE(Data!AO$4:AO$195,1),1,IF(Data!AO102&lt;=MEDIAN(Data!AO$4:AO$195),2,IF(Data!AO102&lt;=QUARTILE(Data!AO$4:AO$195,3),3,4)))</f>
        <v>1</v>
      </c>
      <c r="AP102" s="28">
        <f>IF(Data!AP102&lt;=QUARTILE(Data!AP$4:AP$195,1),1,IF(Data!AP102&lt;=MEDIAN(Data!AP$4:AP$195),2,IF(Data!AP102&lt;=QUARTILE(Data!AP$4:AP$195,3),3,4)))</f>
        <v>2</v>
      </c>
      <c r="AQ102" s="28">
        <f>IF(Data!AQ102&lt;=QUARTILE(Data!AQ$4:AQ$195,1),1,IF(Data!AQ102&lt;=MEDIAN(Data!AQ$4:AQ$195),2,IF(Data!AQ102&lt;=QUARTILE(Data!AQ$4:AQ$195,3),3,4)))</f>
        <v>1</v>
      </c>
      <c r="AR102" s="28">
        <f>IF(Data!AR102&lt;=QUARTILE(Data!AR$4:AR$195,1),1,IF(Data!AR102&lt;=MEDIAN(Data!AR$4:AR$195),2,IF(Data!AR102&lt;=QUARTILE(Data!AR$4:AR$195,3),3,4)))</f>
        <v>1</v>
      </c>
      <c r="AS102" s="28">
        <f>IF(Data!AS102&lt;=QUARTILE(Data!AS$4:AS$195,1),1,IF(Data!AS102&lt;=MEDIAN(Data!AS$4:AS$195),2,IF(Data!AS102&lt;=QUARTILE(Data!AS$4:AS$195,3),3,4)))</f>
        <v>1</v>
      </c>
      <c r="AT102" s="28">
        <f>IF(Data!AT102&lt;=QUARTILE(Data!AT$4:AT$195,1),1,IF(Data!AT102&lt;=MEDIAN(Data!AT$4:AT$195),2,IF(Data!AT102&lt;=QUARTILE(Data!AT$4:AT$195,3),3,4)))</f>
        <v>4</v>
      </c>
      <c r="AU102" s="22">
        <f>IF(Data!AU102&lt;=QUARTILE(Data!AU$4:AU$195,1),1,IF(Data!AU102&lt;=MEDIAN(Data!AU$4:AU$195),2,IF(Data!AU102&lt;=QUARTILE(Data!AU$4:AU$195,3),3,4)))</f>
        <v>4</v>
      </c>
      <c r="AV102" s="25">
        <f>IF(Data!AV102&lt;=QUARTILE(Data!AV$4:AV$195,1),1,IF(Data!AV102&lt;=MEDIAN(Data!AV$4:AV$195),2,IF(Data!AV102&lt;=QUARTILE(Data!AV$4:AV$195,3),3,4)))</f>
        <v>1</v>
      </c>
      <c r="AW102" s="28">
        <f>IF(Data!AW102&lt;=QUARTILE(Data!AW$4:AW$195,1),1,IF(Data!AW102&lt;=MEDIAN(Data!AW$4:AW$195),2,IF(Data!AW102&lt;=QUARTILE(Data!AW$4:AW$195,3),3,4)))</f>
        <v>1</v>
      </c>
      <c r="AX102" s="28">
        <f>IF(Data!AX102&lt;=QUARTILE(Data!AX$4:AX$195,1),1,IF(Data!AX102&lt;=MEDIAN(Data!AX$4:AX$195),2,IF(Data!AX102&lt;=QUARTILE(Data!AX$4:AX$195,3),3,4)))</f>
        <v>1</v>
      </c>
      <c r="AY102" s="22">
        <f>IF(Data!AY102&lt;=QUARTILE(Data!AY$4:AY$195,1),1,IF(Data!AY102&lt;=MEDIAN(Data!AY$4:AY$195),2,IF(Data!AY102&lt;=QUARTILE(Data!AY$4:AY$195,3),3,4)))</f>
        <v>1</v>
      </c>
      <c r="AZ102" s="25">
        <f>IF(Data!AZ102&lt;=QUARTILE(Data!AZ$4:AZ$195,1),1,IF(Data!AZ102&lt;=MEDIAN(Data!AZ$4:AZ$195),2,IF(Data!AZ102&lt;=QUARTILE(Data!AZ$4:AZ$195,3),3,4)))</f>
        <v>4</v>
      </c>
      <c r="BA102" s="22">
        <f>IF(Data!BA102&lt;=QUARTILE(Data!BA$4:BA$195,1),1,IF(Data!BA102&lt;=MEDIAN(Data!BA$4:BA$195),2,IF(Data!BA102&lt;=QUARTILE(Data!BA$4:BA$195,3),3,4)))</f>
        <v>3</v>
      </c>
    </row>
    <row r="103" spans="1:53" x14ac:dyDescent="0.25">
      <c r="A103" s="4" t="s">
        <v>6</v>
      </c>
      <c r="B103" s="40">
        <v>2006</v>
      </c>
      <c r="C103" s="25">
        <v>7</v>
      </c>
      <c r="D103" s="28">
        <v>9</v>
      </c>
      <c r="E103" s="77" t="s">
        <v>96</v>
      </c>
      <c r="F103" s="28">
        <v>2.2000000000000002</v>
      </c>
      <c r="G103" s="28">
        <v>-0.2</v>
      </c>
      <c r="H103" s="22">
        <v>2.4</v>
      </c>
      <c r="I103" s="25">
        <f>IF(Data!I103&lt;=QUARTILE(Data!I$4:I$195,1),1,IF(Data!I103&lt;=MEDIAN(Data!I$4:I$195),2,IF(Data!I103&lt;=QUARTILE(Data!I$4:I$195,3),3,4)))</f>
        <v>2</v>
      </c>
      <c r="J103" s="28">
        <f>IF(Data!J103&lt;=QUARTILE(Data!J$4:J$195,1),1,IF(Data!J103&lt;=MEDIAN(Data!J$4:J$195),2,IF(Data!J103&lt;=QUARTILE(Data!J$4:J$195,3),3,4)))</f>
        <v>1</v>
      </c>
      <c r="K103" s="28">
        <f>IF(Data!K103&lt;=QUARTILE(Data!K$4:K$195,1),1,IF(Data!K103&lt;=MEDIAN(Data!K$4:K$195),2,IF(Data!K103&lt;=QUARTILE(Data!K$4:K$195,3),3,4)))</f>
        <v>1</v>
      </c>
      <c r="L103" s="22">
        <f>IF(Data!L103&lt;=QUARTILE(Data!L$4:L$195,1),1,IF(Data!L103&lt;=MEDIAN(Data!L$4:L$195),2,IF(Data!L103&lt;=QUARTILE(Data!L$4:L$195,3),3,4)))</f>
        <v>1</v>
      </c>
      <c r="M103" s="28">
        <f>IF(Data!M103&lt;=QUARTILE(Data!M$4:M$195,1),1,IF(Data!M103&lt;=MEDIAN(Data!M$4:M$195),2,IF(Data!M103&lt;=QUARTILE(Data!M$4:M$195,3),3,4)))</f>
        <v>1</v>
      </c>
      <c r="N103" s="28">
        <f>IF(Data!N103&lt;=QUARTILE(Data!N$4:N$195,1),1,IF(Data!N103&lt;=MEDIAN(Data!N$4:N$195),2,IF(Data!N103&lt;=QUARTILE(Data!N$4:N$195,3),3,4)))</f>
        <v>1</v>
      </c>
      <c r="O103" s="28">
        <f>IF(Data!O103&lt;=QUARTILE(Data!O$4:O$195,1),1,IF(Data!O103&lt;=MEDIAN(Data!O$4:O$195),2,IF(Data!O103&lt;=QUARTILE(Data!O$4:O$195,3),3,4)))</f>
        <v>1</v>
      </c>
      <c r="P103" s="28">
        <f>IF(Data!P103&lt;=QUARTILE(Data!P$4:P$195,1),1,IF(Data!P103&lt;=MEDIAN(Data!P$4:P$195),2,IF(Data!P103&lt;=QUARTILE(Data!P$4:P$195,3),3,4)))</f>
        <v>2</v>
      </c>
      <c r="Q103" s="28">
        <f>IF(Data!Q103&lt;=QUARTILE(Data!Q$4:Q$195,1),1,IF(Data!Q103&lt;=MEDIAN(Data!Q$4:Q$195),2,IF(Data!Q103&lt;=QUARTILE(Data!Q$4:Q$195,3),3,4)))</f>
        <v>1</v>
      </c>
      <c r="R103" s="28">
        <f>IF(Data!R103&lt;=QUARTILE(Data!R$4:R$195,1),1,IF(Data!R103&lt;=MEDIAN(Data!R$4:R$195),2,IF(Data!R103&lt;=QUARTILE(Data!R$4:R$195,3),3,4)))</f>
        <v>3</v>
      </c>
      <c r="S103" s="28">
        <f>IF(Data!S103&lt;=QUARTILE(Data!S$4:S$195,1),1,IF(Data!S103&lt;=MEDIAN(Data!S$4:S$195),2,IF(Data!S103&lt;=QUARTILE(Data!S$4:S$195,3),3,4)))</f>
        <v>4</v>
      </c>
      <c r="T103" s="22">
        <f>IF(Data!T103&lt;=QUARTILE(Data!T$4:T$195,1),1,IF(Data!T103&lt;=MEDIAN(Data!T$4:T$195),2,IF(Data!T103&lt;=QUARTILE(Data!T$4:T$195,3),3,4)))</f>
        <v>4</v>
      </c>
      <c r="U103" s="25">
        <f>IF(Data!U103&lt;=QUARTILE(Data!U$4:U$195,1),1,IF(Data!U103&lt;=MEDIAN(Data!U$4:U$195),2,IF(Data!U103&lt;=QUARTILE(Data!U$4:U$195,3),3,4)))</f>
        <v>2</v>
      </c>
      <c r="V103" s="28">
        <f>IF(Data!V103&lt;=QUARTILE(Data!V$4:V$195,1),1,IF(Data!V103&lt;=MEDIAN(Data!V$4:V$195),2,IF(Data!V103&lt;=QUARTILE(Data!V$4:V$195,3),3,4)))</f>
        <v>1</v>
      </c>
      <c r="W103" s="28">
        <f>IF(Data!W103&lt;=QUARTILE(Data!W$4:W$195,1),1,IF(Data!W103&lt;=MEDIAN(Data!W$4:W$195),2,IF(Data!W103&lt;=QUARTILE(Data!W$4:W$195,3),3,4)))</f>
        <v>1</v>
      </c>
      <c r="X103" s="22">
        <f>IF(Data!X103&lt;=QUARTILE(Data!X$4:X$195,1),1,IF(Data!X103&lt;=MEDIAN(Data!X$4:X$195),2,IF(Data!X103&lt;=QUARTILE(Data!X$4:X$195,3),3,4)))</f>
        <v>1</v>
      </c>
      <c r="Y103" s="28">
        <f>IF(Data!Y103&lt;=QUARTILE(Data!Y$4:Y$195,1),1,IF(Data!Y103&lt;=MEDIAN(Data!Y$4:Y$195),2,IF(Data!Y103&lt;=QUARTILE(Data!Y$4:Y$195,3),3,4)))</f>
        <v>2</v>
      </c>
      <c r="Z103" s="22">
        <f>IF(Data!Z103&lt;=QUARTILE(Data!Z$4:Z$195,1),1,IF(Data!Z103&lt;=MEDIAN(Data!Z$4:Z$195),2,IF(Data!Z103&lt;=QUARTILE(Data!Z$4:Z$195,3),3,4)))</f>
        <v>3</v>
      </c>
      <c r="AA103" s="25">
        <f>IF(Data!AA103&lt;=QUARTILE(Data!AA$4:AA$195,1),1,IF(Data!AA103&lt;=MEDIAN(Data!AA$4:AA$195),2,IF(Data!AA103&lt;=QUARTILE(Data!AA$4:AA$195,3),3,4)))</f>
        <v>3</v>
      </c>
      <c r="AB103" s="22">
        <f>IF(Data!AB103&lt;=QUARTILE(Data!AB$4:AB$195,1),1,IF(Data!AB103&lt;=MEDIAN(Data!AB$4:AB$195),2,IF(Data!AB103&lt;=QUARTILE(Data!AB$4:AB$195,3),3,4)))</f>
        <v>4</v>
      </c>
      <c r="AC103" s="25">
        <f>IF(Data!AC103&lt;=QUARTILE(Data!AC$4:AC$195,1),1,IF(Data!AC103&lt;=MEDIAN(Data!AC$4:AC$195),2,IF(Data!AC103&lt;=QUARTILE(Data!AC$4:AC$195,3),3,4)))</f>
        <v>2</v>
      </c>
      <c r="AD103" s="22">
        <f>IF(Data!AD103&lt;=QUARTILE(Data!AD$4:AD$195,1),1,IF(Data!AD103&lt;=MEDIAN(Data!AD$4:AD$195),2,IF(Data!AD103&lt;=QUARTILE(Data!AD$4:AD$195,3),3,4)))</f>
        <v>3</v>
      </c>
      <c r="AE103" s="28">
        <f>IF(Data!AE103&lt;=QUARTILE(Data!AE$4:AE$195,1),1,IF(Data!AE103&lt;=MEDIAN(Data!AE$4:AE$195),2,IF(Data!AE103&lt;=QUARTILE(Data!AE$4:AE$195,3),3,4)))</f>
        <v>1</v>
      </c>
      <c r="AF103" s="28">
        <f>IF(Data!AF103&lt;=QUARTILE(Data!AF$4:AF$195,1),1,IF(Data!AF103&lt;=MEDIAN(Data!AF$4:AF$195),2,IF(Data!AF103&lt;=QUARTILE(Data!AF$4:AF$195,3),3,4)))</f>
        <v>1</v>
      </c>
      <c r="AG103" s="28">
        <f>IF(Data!AG103&lt;=QUARTILE(Data!AG$4:AG$195,1),1,IF(Data!AG103&lt;=MEDIAN(Data!AG$4:AG$195),2,IF(Data!AG103&lt;=QUARTILE(Data!AG$4:AG$195,3),3,4)))</f>
        <v>3</v>
      </c>
      <c r="AH103" s="22">
        <f>IF(Data!AH103&lt;=QUARTILE(Data!AH$4:AH$195,1),1,IF(Data!AH103&lt;=MEDIAN(Data!AH$4:AH$195),2,IF(Data!AH103&lt;=QUARTILE(Data!AH$4:AH$195,3),3,4)))</f>
        <v>3</v>
      </c>
      <c r="AI103" s="25">
        <f>IF(Data!AI103&lt;=QUARTILE(Data!AI$4:AI$195,1),1,IF(Data!AI103&lt;=MEDIAN(Data!AI$4:AI$195),2,IF(Data!AI103&lt;=QUARTILE(Data!AI$4:AI$195,3),3,4)))</f>
        <v>4</v>
      </c>
      <c r="AJ103" s="22">
        <f>IF(Data!AJ103&lt;=QUARTILE(Data!AJ$4:AJ$195,1),1,IF(Data!AJ103&lt;=MEDIAN(Data!AJ$4:AJ$195),2,IF(Data!AJ103&lt;=QUARTILE(Data!AJ$4:AJ$195,3),3,4)))</f>
        <v>4</v>
      </c>
      <c r="AK103" s="25">
        <f>IF(Data!AK103&lt;=QUARTILE(Data!AK$4:AK$195,1),1,IF(Data!AK103&lt;=MEDIAN(Data!AK$4:AK$195),2,IF(Data!AK103&lt;=QUARTILE(Data!AK$4:AK$195,3),3,4)))</f>
        <v>2</v>
      </c>
      <c r="AL103" s="28">
        <f>IF(Data!AL103&lt;=QUARTILE(Data!AL$4:AL$195,1),1,IF(Data!AL103&lt;=MEDIAN(Data!AL$4:AL$195),2,IF(Data!AL103&lt;=QUARTILE(Data!AL$4:AL$195,3),3,4)))</f>
        <v>3</v>
      </c>
      <c r="AM103" s="28">
        <f>IF(Data!AM103&lt;=QUARTILE(Data!AM$4:AM$195,1),1,IF(Data!AM103&lt;=MEDIAN(Data!AM$4:AM$195),2,IF(Data!AM103&lt;=QUARTILE(Data!AM$4:AM$195,3),3,4)))</f>
        <v>3</v>
      </c>
      <c r="AN103" s="22">
        <f>IF(Data!AN103&lt;=QUARTILE(Data!AN$4:AN$195,1),1,IF(Data!AN103&lt;=MEDIAN(Data!AN$4:AN$195),2,IF(Data!AN103&lt;=QUARTILE(Data!AN$4:AN$195,3),3,4)))</f>
        <v>2</v>
      </c>
      <c r="AO103" s="28">
        <f>IF(Data!AO103&lt;=QUARTILE(Data!AO$4:AO$195,1),1,IF(Data!AO103&lt;=MEDIAN(Data!AO$4:AO$195),2,IF(Data!AO103&lt;=QUARTILE(Data!AO$4:AO$195,3),3,4)))</f>
        <v>3</v>
      </c>
      <c r="AP103" s="28">
        <f>IF(Data!AP103&lt;=QUARTILE(Data!AP$4:AP$195,1),1,IF(Data!AP103&lt;=MEDIAN(Data!AP$4:AP$195),2,IF(Data!AP103&lt;=QUARTILE(Data!AP$4:AP$195,3),3,4)))</f>
        <v>2</v>
      </c>
      <c r="AQ103" s="28">
        <f>IF(Data!AQ103&lt;=QUARTILE(Data!AQ$4:AQ$195,1),1,IF(Data!AQ103&lt;=MEDIAN(Data!AQ$4:AQ$195),2,IF(Data!AQ103&lt;=QUARTILE(Data!AQ$4:AQ$195,3),3,4)))</f>
        <v>1</v>
      </c>
      <c r="AR103" s="28">
        <f>IF(Data!AR103&lt;=QUARTILE(Data!AR$4:AR$195,1),1,IF(Data!AR103&lt;=MEDIAN(Data!AR$4:AR$195),2,IF(Data!AR103&lt;=QUARTILE(Data!AR$4:AR$195,3),3,4)))</f>
        <v>1</v>
      </c>
      <c r="AS103" s="28">
        <f>IF(Data!AS103&lt;=QUARTILE(Data!AS$4:AS$195,1),1,IF(Data!AS103&lt;=MEDIAN(Data!AS$4:AS$195),2,IF(Data!AS103&lt;=QUARTILE(Data!AS$4:AS$195,3),3,4)))</f>
        <v>2</v>
      </c>
      <c r="AT103" s="28">
        <f>IF(Data!AT103&lt;=QUARTILE(Data!AT$4:AT$195,1),1,IF(Data!AT103&lt;=MEDIAN(Data!AT$4:AT$195),2,IF(Data!AT103&lt;=QUARTILE(Data!AT$4:AT$195,3),3,4)))</f>
        <v>3</v>
      </c>
      <c r="AU103" s="22">
        <f>IF(Data!AU103&lt;=QUARTILE(Data!AU$4:AU$195,1),1,IF(Data!AU103&lt;=MEDIAN(Data!AU$4:AU$195),2,IF(Data!AU103&lt;=QUARTILE(Data!AU$4:AU$195,3),3,4)))</f>
        <v>4</v>
      </c>
      <c r="AV103" s="25">
        <f>IF(Data!AV103&lt;=QUARTILE(Data!AV$4:AV$195,1),1,IF(Data!AV103&lt;=MEDIAN(Data!AV$4:AV$195),2,IF(Data!AV103&lt;=QUARTILE(Data!AV$4:AV$195,3),3,4)))</f>
        <v>3</v>
      </c>
      <c r="AW103" s="28">
        <f>IF(Data!AW103&lt;=QUARTILE(Data!AW$4:AW$195,1),1,IF(Data!AW103&lt;=MEDIAN(Data!AW$4:AW$195),2,IF(Data!AW103&lt;=QUARTILE(Data!AW$4:AW$195,3),3,4)))</f>
        <v>4</v>
      </c>
      <c r="AX103" s="28">
        <f>IF(Data!AX103&lt;=QUARTILE(Data!AX$4:AX$195,1),1,IF(Data!AX103&lt;=MEDIAN(Data!AX$4:AX$195),2,IF(Data!AX103&lt;=QUARTILE(Data!AX$4:AX$195,3),3,4)))</f>
        <v>3</v>
      </c>
      <c r="AY103" s="22">
        <f>IF(Data!AY103&lt;=QUARTILE(Data!AY$4:AY$195,1),1,IF(Data!AY103&lt;=MEDIAN(Data!AY$4:AY$195),2,IF(Data!AY103&lt;=QUARTILE(Data!AY$4:AY$195,3),3,4)))</f>
        <v>4</v>
      </c>
      <c r="AZ103" s="25">
        <f>IF(Data!AZ103&lt;=QUARTILE(Data!AZ$4:AZ$195,1),1,IF(Data!AZ103&lt;=MEDIAN(Data!AZ$4:AZ$195),2,IF(Data!AZ103&lt;=QUARTILE(Data!AZ$4:AZ$195,3),3,4)))</f>
        <v>1</v>
      </c>
      <c r="BA103" s="22">
        <f>IF(Data!BA103&lt;=QUARTILE(Data!BA$4:BA$195,1),1,IF(Data!BA103&lt;=MEDIAN(Data!BA$4:BA$195),2,IF(Data!BA103&lt;=QUARTILE(Data!BA$4:BA$195,3),3,4)))</f>
        <v>2</v>
      </c>
    </row>
    <row r="104" spans="1:53" x14ac:dyDescent="0.25">
      <c r="A104" s="4" t="s">
        <v>29</v>
      </c>
      <c r="B104" s="40">
        <v>2006</v>
      </c>
      <c r="C104" s="25">
        <v>8</v>
      </c>
      <c r="D104" s="28">
        <v>8</v>
      </c>
      <c r="E104" s="77" t="s">
        <v>96</v>
      </c>
      <c r="F104" s="28">
        <v>-2.7</v>
      </c>
      <c r="G104" s="28">
        <v>-4.2</v>
      </c>
      <c r="H104" s="22">
        <v>1.5</v>
      </c>
      <c r="I104" s="25">
        <f>IF(Data!I104&lt;=QUARTILE(Data!I$4:I$195,1),1,IF(Data!I104&lt;=MEDIAN(Data!I$4:I$195),2,IF(Data!I104&lt;=QUARTILE(Data!I$4:I$195,3),3,4)))</f>
        <v>1</v>
      </c>
      <c r="J104" s="28">
        <f>IF(Data!J104&lt;=QUARTILE(Data!J$4:J$195,1),1,IF(Data!J104&lt;=MEDIAN(Data!J$4:J$195),2,IF(Data!J104&lt;=QUARTILE(Data!J$4:J$195,3),3,4)))</f>
        <v>2</v>
      </c>
      <c r="K104" s="28">
        <f>IF(Data!K104&lt;=QUARTILE(Data!K$4:K$195,1),1,IF(Data!K104&lt;=MEDIAN(Data!K$4:K$195),2,IF(Data!K104&lt;=QUARTILE(Data!K$4:K$195,3),3,4)))</f>
        <v>2</v>
      </c>
      <c r="L104" s="22">
        <f>IF(Data!L104&lt;=QUARTILE(Data!L$4:L$195,1),1,IF(Data!L104&lt;=MEDIAN(Data!L$4:L$195),2,IF(Data!L104&lt;=QUARTILE(Data!L$4:L$195,3),3,4)))</f>
        <v>2</v>
      </c>
      <c r="M104" s="28">
        <f>IF(Data!M104&lt;=QUARTILE(Data!M$4:M$195,1),1,IF(Data!M104&lt;=MEDIAN(Data!M$4:M$195),2,IF(Data!M104&lt;=QUARTILE(Data!M$4:M$195,3),3,4)))</f>
        <v>3</v>
      </c>
      <c r="N104" s="28">
        <f>IF(Data!N104&lt;=QUARTILE(Data!N$4:N$195,1),1,IF(Data!N104&lt;=MEDIAN(Data!N$4:N$195),2,IF(Data!N104&lt;=QUARTILE(Data!N$4:N$195,3),3,4)))</f>
        <v>3</v>
      </c>
      <c r="O104" s="28">
        <f>IF(Data!O104&lt;=QUARTILE(Data!O$4:O$195,1),1,IF(Data!O104&lt;=MEDIAN(Data!O$4:O$195),2,IF(Data!O104&lt;=QUARTILE(Data!O$4:O$195,3),3,4)))</f>
        <v>2</v>
      </c>
      <c r="P104" s="28">
        <f>IF(Data!P104&lt;=QUARTILE(Data!P$4:P$195,1),1,IF(Data!P104&lt;=MEDIAN(Data!P$4:P$195),2,IF(Data!P104&lt;=QUARTILE(Data!P$4:P$195,3),3,4)))</f>
        <v>2</v>
      </c>
      <c r="Q104" s="28">
        <f>IF(Data!Q104&lt;=QUARTILE(Data!Q$4:Q$195,1),1,IF(Data!Q104&lt;=MEDIAN(Data!Q$4:Q$195),2,IF(Data!Q104&lt;=QUARTILE(Data!Q$4:Q$195,3),3,4)))</f>
        <v>2</v>
      </c>
      <c r="R104" s="28">
        <f>IF(Data!R104&lt;=QUARTILE(Data!R$4:R$195,1),1,IF(Data!R104&lt;=MEDIAN(Data!R$4:R$195),2,IF(Data!R104&lt;=QUARTILE(Data!R$4:R$195,3),3,4)))</f>
        <v>2</v>
      </c>
      <c r="S104" s="28">
        <f>IF(Data!S104&lt;=QUARTILE(Data!S$4:S$195,1),1,IF(Data!S104&lt;=MEDIAN(Data!S$4:S$195),2,IF(Data!S104&lt;=QUARTILE(Data!S$4:S$195,3),3,4)))</f>
        <v>2</v>
      </c>
      <c r="T104" s="22">
        <f>IF(Data!T104&lt;=QUARTILE(Data!T$4:T$195,1),1,IF(Data!T104&lt;=MEDIAN(Data!T$4:T$195),2,IF(Data!T104&lt;=QUARTILE(Data!T$4:T$195,3),3,4)))</f>
        <v>3</v>
      </c>
      <c r="U104" s="25">
        <f>IF(Data!U104&lt;=QUARTILE(Data!U$4:U$195,1),1,IF(Data!U104&lt;=MEDIAN(Data!U$4:U$195),2,IF(Data!U104&lt;=QUARTILE(Data!U$4:U$195,3),3,4)))</f>
        <v>2</v>
      </c>
      <c r="V104" s="28">
        <f>IF(Data!V104&lt;=QUARTILE(Data!V$4:V$195,1),1,IF(Data!V104&lt;=MEDIAN(Data!V$4:V$195),2,IF(Data!V104&lt;=QUARTILE(Data!V$4:V$195,3),3,4)))</f>
        <v>2</v>
      </c>
      <c r="W104" s="28">
        <f>IF(Data!W104&lt;=QUARTILE(Data!W$4:W$195,1),1,IF(Data!W104&lt;=MEDIAN(Data!W$4:W$195),2,IF(Data!W104&lt;=QUARTILE(Data!W$4:W$195,3),3,4)))</f>
        <v>1</v>
      </c>
      <c r="X104" s="22">
        <f>IF(Data!X104&lt;=QUARTILE(Data!X$4:X$195,1),1,IF(Data!X104&lt;=MEDIAN(Data!X$4:X$195),2,IF(Data!X104&lt;=QUARTILE(Data!X$4:X$195,3),3,4)))</f>
        <v>3</v>
      </c>
      <c r="Y104" s="28">
        <f>IF(Data!Y104&lt;=QUARTILE(Data!Y$4:Y$195,1),1,IF(Data!Y104&lt;=MEDIAN(Data!Y$4:Y$195),2,IF(Data!Y104&lt;=QUARTILE(Data!Y$4:Y$195,3),3,4)))</f>
        <v>3</v>
      </c>
      <c r="Z104" s="22">
        <f>IF(Data!Z104&lt;=QUARTILE(Data!Z$4:Z$195,1),1,IF(Data!Z104&lt;=MEDIAN(Data!Z$4:Z$195),2,IF(Data!Z104&lt;=QUARTILE(Data!Z$4:Z$195,3),3,4)))</f>
        <v>1</v>
      </c>
      <c r="AA104" s="25">
        <f>IF(Data!AA104&lt;=QUARTILE(Data!AA$4:AA$195,1),1,IF(Data!AA104&lt;=MEDIAN(Data!AA$4:AA$195),2,IF(Data!AA104&lt;=QUARTILE(Data!AA$4:AA$195,3),3,4)))</f>
        <v>4</v>
      </c>
      <c r="AB104" s="22">
        <f>IF(Data!AB104&lt;=QUARTILE(Data!AB$4:AB$195,1),1,IF(Data!AB104&lt;=MEDIAN(Data!AB$4:AB$195),2,IF(Data!AB104&lt;=QUARTILE(Data!AB$4:AB$195,3),3,4)))</f>
        <v>1</v>
      </c>
      <c r="AC104" s="25">
        <f>IF(Data!AC104&lt;=QUARTILE(Data!AC$4:AC$195,1),1,IF(Data!AC104&lt;=MEDIAN(Data!AC$4:AC$195),2,IF(Data!AC104&lt;=QUARTILE(Data!AC$4:AC$195,3),3,4)))</f>
        <v>2</v>
      </c>
      <c r="AD104" s="22">
        <f>IF(Data!AD104&lt;=QUARTILE(Data!AD$4:AD$195,1),1,IF(Data!AD104&lt;=MEDIAN(Data!AD$4:AD$195),2,IF(Data!AD104&lt;=QUARTILE(Data!AD$4:AD$195,3),3,4)))</f>
        <v>1</v>
      </c>
      <c r="AE104" s="28">
        <f>IF(Data!AE104&lt;=QUARTILE(Data!AE$4:AE$195,1),1,IF(Data!AE104&lt;=MEDIAN(Data!AE$4:AE$195),2,IF(Data!AE104&lt;=QUARTILE(Data!AE$4:AE$195,3),3,4)))</f>
        <v>1</v>
      </c>
      <c r="AF104" s="28">
        <f>IF(Data!AF104&lt;=QUARTILE(Data!AF$4:AF$195,1),1,IF(Data!AF104&lt;=MEDIAN(Data!AF$4:AF$195),2,IF(Data!AF104&lt;=QUARTILE(Data!AF$4:AF$195,3),3,4)))</f>
        <v>1</v>
      </c>
      <c r="AG104" s="28">
        <f>IF(Data!AG104&lt;=QUARTILE(Data!AG$4:AG$195,1),1,IF(Data!AG104&lt;=MEDIAN(Data!AG$4:AG$195),2,IF(Data!AG104&lt;=QUARTILE(Data!AG$4:AG$195,3),3,4)))</f>
        <v>4</v>
      </c>
      <c r="AH104" s="22">
        <f>IF(Data!AH104&lt;=QUARTILE(Data!AH$4:AH$195,1),1,IF(Data!AH104&lt;=MEDIAN(Data!AH$4:AH$195),2,IF(Data!AH104&lt;=QUARTILE(Data!AH$4:AH$195,3),3,4)))</f>
        <v>4</v>
      </c>
      <c r="AI104" s="25">
        <f>IF(Data!AI104&lt;=QUARTILE(Data!AI$4:AI$195,1),1,IF(Data!AI104&lt;=MEDIAN(Data!AI$4:AI$195),2,IF(Data!AI104&lt;=QUARTILE(Data!AI$4:AI$195,3),3,4)))</f>
        <v>4</v>
      </c>
      <c r="AJ104" s="22">
        <f>IF(Data!AJ104&lt;=QUARTILE(Data!AJ$4:AJ$195,1),1,IF(Data!AJ104&lt;=MEDIAN(Data!AJ$4:AJ$195),2,IF(Data!AJ104&lt;=QUARTILE(Data!AJ$4:AJ$195,3),3,4)))</f>
        <v>4</v>
      </c>
      <c r="AK104" s="25">
        <f>IF(Data!AK104&lt;=QUARTILE(Data!AK$4:AK$195,1),1,IF(Data!AK104&lt;=MEDIAN(Data!AK$4:AK$195),2,IF(Data!AK104&lt;=QUARTILE(Data!AK$4:AK$195,3),3,4)))</f>
        <v>2</v>
      </c>
      <c r="AL104" s="28">
        <f>IF(Data!AL104&lt;=QUARTILE(Data!AL$4:AL$195,1),1,IF(Data!AL104&lt;=MEDIAN(Data!AL$4:AL$195),2,IF(Data!AL104&lt;=QUARTILE(Data!AL$4:AL$195,3),3,4)))</f>
        <v>1</v>
      </c>
      <c r="AM104" s="28">
        <f>IF(Data!AM104&lt;=QUARTILE(Data!AM$4:AM$195,1),1,IF(Data!AM104&lt;=MEDIAN(Data!AM$4:AM$195),2,IF(Data!AM104&lt;=QUARTILE(Data!AM$4:AM$195,3),3,4)))</f>
        <v>2</v>
      </c>
      <c r="AN104" s="22">
        <f>IF(Data!AN104&lt;=QUARTILE(Data!AN$4:AN$195,1),1,IF(Data!AN104&lt;=MEDIAN(Data!AN$4:AN$195),2,IF(Data!AN104&lt;=QUARTILE(Data!AN$4:AN$195,3),3,4)))</f>
        <v>1</v>
      </c>
      <c r="AO104" s="28">
        <f>IF(Data!AO104&lt;=QUARTILE(Data!AO$4:AO$195,1),1,IF(Data!AO104&lt;=MEDIAN(Data!AO$4:AO$195),2,IF(Data!AO104&lt;=QUARTILE(Data!AO$4:AO$195,3),3,4)))</f>
        <v>1</v>
      </c>
      <c r="AP104" s="28">
        <f>IF(Data!AP104&lt;=QUARTILE(Data!AP$4:AP$195,1),1,IF(Data!AP104&lt;=MEDIAN(Data!AP$4:AP$195),2,IF(Data!AP104&lt;=QUARTILE(Data!AP$4:AP$195,3),3,4)))</f>
        <v>2</v>
      </c>
      <c r="AQ104" s="28">
        <f>IF(Data!AQ104&lt;=QUARTILE(Data!AQ$4:AQ$195,1),1,IF(Data!AQ104&lt;=MEDIAN(Data!AQ$4:AQ$195),2,IF(Data!AQ104&lt;=QUARTILE(Data!AQ$4:AQ$195,3),3,4)))</f>
        <v>1</v>
      </c>
      <c r="AR104" s="28">
        <f>IF(Data!AR104&lt;=QUARTILE(Data!AR$4:AR$195,1),1,IF(Data!AR104&lt;=MEDIAN(Data!AR$4:AR$195),2,IF(Data!AR104&lt;=QUARTILE(Data!AR$4:AR$195,3),3,4)))</f>
        <v>3</v>
      </c>
      <c r="AS104" s="28">
        <f>IF(Data!AS104&lt;=QUARTILE(Data!AS$4:AS$195,1),1,IF(Data!AS104&lt;=MEDIAN(Data!AS$4:AS$195),2,IF(Data!AS104&lt;=QUARTILE(Data!AS$4:AS$195,3),3,4)))</f>
        <v>1</v>
      </c>
      <c r="AT104" s="28">
        <f>IF(Data!AT104&lt;=QUARTILE(Data!AT$4:AT$195,1),1,IF(Data!AT104&lt;=MEDIAN(Data!AT$4:AT$195),2,IF(Data!AT104&lt;=QUARTILE(Data!AT$4:AT$195,3),3,4)))</f>
        <v>4</v>
      </c>
      <c r="AU104" s="22">
        <f>IF(Data!AU104&lt;=QUARTILE(Data!AU$4:AU$195,1),1,IF(Data!AU104&lt;=MEDIAN(Data!AU$4:AU$195),2,IF(Data!AU104&lt;=QUARTILE(Data!AU$4:AU$195,3),3,4)))</f>
        <v>4</v>
      </c>
      <c r="AV104" s="25">
        <f>IF(Data!AV104&lt;=QUARTILE(Data!AV$4:AV$195,1),1,IF(Data!AV104&lt;=MEDIAN(Data!AV$4:AV$195),2,IF(Data!AV104&lt;=QUARTILE(Data!AV$4:AV$195,3),3,4)))</f>
        <v>3</v>
      </c>
      <c r="AW104" s="28">
        <f>IF(Data!AW104&lt;=QUARTILE(Data!AW$4:AW$195,1),1,IF(Data!AW104&lt;=MEDIAN(Data!AW$4:AW$195),2,IF(Data!AW104&lt;=QUARTILE(Data!AW$4:AW$195,3),3,4)))</f>
        <v>2</v>
      </c>
      <c r="AX104" s="28">
        <f>IF(Data!AX104&lt;=QUARTILE(Data!AX$4:AX$195,1),1,IF(Data!AX104&lt;=MEDIAN(Data!AX$4:AX$195),2,IF(Data!AX104&lt;=QUARTILE(Data!AX$4:AX$195,3),3,4)))</f>
        <v>1</v>
      </c>
      <c r="AY104" s="22">
        <f>IF(Data!AY104&lt;=QUARTILE(Data!AY$4:AY$195,1),1,IF(Data!AY104&lt;=MEDIAN(Data!AY$4:AY$195),2,IF(Data!AY104&lt;=QUARTILE(Data!AY$4:AY$195,3),3,4)))</f>
        <v>2</v>
      </c>
      <c r="AZ104" s="25">
        <f>IF(Data!AZ104&lt;=QUARTILE(Data!AZ$4:AZ$195,1),1,IF(Data!AZ104&lt;=MEDIAN(Data!AZ$4:AZ$195),2,IF(Data!AZ104&lt;=QUARTILE(Data!AZ$4:AZ$195,3),3,4)))</f>
        <v>2</v>
      </c>
      <c r="BA104" s="22">
        <f>IF(Data!BA104&lt;=QUARTILE(Data!BA$4:BA$195,1),1,IF(Data!BA104&lt;=MEDIAN(Data!BA$4:BA$195),2,IF(Data!BA104&lt;=QUARTILE(Data!BA$4:BA$195,3),3,4)))</f>
        <v>1</v>
      </c>
    </row>
    <row r="105" spans="1:53" x14ac:dyDescent="0.25">
      <c r="A105" s="4" t="s">
        <v>25</v>
      </c>
      <c r="B105" s="40">
        <v>2006</v>
      </c>
      <c r="C105" s="25">
        <v>13</v>
      </c>
      <c r="D105" s="28">
        <v>3</v>
      </c>
      <c r="E105" s="77" t="s">
        <v>97</v>
      </c>
      <c r="F105" s="28">
        <v>7.9</v>
      </c>
      <c r="G105" s="28">
        <v>4.9000000000000004</v>
      </c>
      <c r="H105" s="22">
        <v>3</v>
      </c>
      <c r="I105" s="25">
        <f>IF(Data!I105&lt;=QUARTILE(Data!I$4:I$195,1),1,IF(Data!I105&lt;=MEDIAN(Data!I$4:I$195),2,IF(Data!I105&lt;=QUARTILE(Data!I$4:I$195,3),3,4)))</f>
        <v>4</v>
      </c>
      <c r="J105" s="28">
        <f>IF(Data!J105&lt;=QUARTILE(Data!J$4:J$195,1),1,IF(Data!J105&lt;=MEDIAN(Data!J$4:J$195),2,IF(Data!J105&lt;=QUARTILE(Data!J$4:J$195,3),3,4)))</f>
        <v>3</v>
      </c>
      <c r="K105" s="28">
        <f>IF(Data!K105&lt;=QUARTILE(Data!K$4:K$195,1),1,IF(Data!K105&lt;=MEDIAN(Data!K$4:K$195),2,IF(Data!K105&lt;=QUARTILE(Data!K$4:K$195,3),3,4)))</f>
        <v>4</v>
      </c>
      <c r="L105" s="22">
        <f>IF(Data!L105&lt;=QUARTILE(Data!L$4:L$195,1),1,IF(Data!L105&lt;=MEDIAN(Data!L$4:L$195),2,IF(Data!L105&lt;=QUARTILE(Data!L$4:L$195,3),3,4)))</f>
        <v>3</v>
      </c>
      <c r="M105" s="28">
        <f>IF(Data!M105&lt;=QUARTILE(Data!M$4:M$195,1),1,IF(Data!M105&lt;=MEDIAN(Data!M$4:M$195),2,IF(Data!M105&lt;=QUARTILE(Data!M$4:M$195,3),3,4)))</f>
        <v>1</v>
      </c>
      <c r="N105" s="28">
        <f>IF(Data!N105&lt;=QUARTILE(Data!N$4:N$195,1),1,IF(Data!N105&lt;=MEDIAN(Data!N$4:N$195),2,IF(Data!N105&lt;=QUARTILE(Data!N$4:N$195,3),3,4)))</f>
        <v>2</v>
      </c>
      <c r="O105" s="28">
        <f>IF(Data!O105&lt;=QUARTILE(Data!O$4:O$195,1),1,IF(Data!O105&lt;=MEDIAN(Data!O$4:O$195),2,IF(Data!O105&lt;=QUARTILE(Data!O$4:O$195,3),3,4)))</f>
        <v>2</v>
      </c>
      <c r="P105" s="28">
        <f>IF(Data!P105&lt;=QUARTILE(Data!P$4:P$195,1),1,IF(Data!P105&lt;=MEDIAN(Data!P$4:P$195),2,IF(Data!P105&lt;=QUARTILE(Data!P$4:P$195,3),3,4)))</f>
        <v>3</v>
      </c>
      <c r="Q105" s="28">
        <f>IF(Data!Q105&lt;=QUARTILE(Data!Q$4:Q$195,1),1,IF(Data!Q105&lt;=MEDIAN(Data!Q$4:Q$195),2,IF(Data!Q105&lt;=QUARTILE(Data!Q$4:Q$195,3),3,4)))</f>
        <v>2</v>
      </c>
      <c r="R105" s="28">
        <f>IF(Data!R105&lt;=QUARTILE(Data!R$4:R$195,1),1,IF(Data!R105&lt;=MEDIAN(Data!R$4:R$195),2,IF(Data!R105&lt;=QUARTILE(Data!R$4:R$195,3),3,4)))</f>
        <v>2</v>
      </c>
      <c r="S105" s="28">
        <f>IF(Data!S105&lt;=QUARTILE(Data!S$4:S$195,1),1,IF(Data!S105&lt;=MEDIAN(Data!S$4:S$195),2,IF(Data!S105&lt;=QUARTILE(Data!S$4:S$195,3),3,4)))</f>
        <v>1</v>
      </c>
      <c r="T105" s="22">
        <f>IF(Data!T105&lt;=QUARTILE(Data!T$4:T$195,1),1,IF(Data!T105&lt;=MEDIAN(Data!T$4:T$195),2,IF(Data!T105&lt;=QUARTILE(Data!T$4:T$195,3),3,4)))</f>
        <v>1</v>
      </c>
      <c r="U105" s="25">
        <f>IF(Data!U105&lt;=QUARTILE(Data!U$4:U$195,1),1,IF(Data!U105&lt;=MEDIAN(Data!U$4:U$195),2,IF(Data!U105&lt;=QUARTILE(Data!U$4:U$195,3),3,4)))</f>
        <v>4</v>
      </c>
      <c r="V105" s="28">
        <f>IF(Data!V105&lt;=QUARTILE(Data!V$4:V$195,1),1,IF(Data!V105&lt;=MEDIAN(Data!V$4:V$195),2,IF(Data!V105&lt;=QUARTILE(Data!V$4:V$195,3),3,4)))</f>
        <v>3</v>
      </c>
      <c r="W105" s="28">
        <f>IF(Data!W105&lt;=QUARTILE(Data!W$4:W$195,1),1,IF(Data!W105&lt;=MEDIAN(Data!W$4:W$195),2,IF(Data!W105&lt;=QUARTILE(Data!W$4:W$195,3),3,4)))</f>
        <v>3</v>
      </c>
      <c r="X105" s="22">
        <f>IF(Data!X105&lt;=QUARTILE(Data!X$4:X$195,1),1,IF(Data!X105&lt;=MEDIAN(Data!X$4:X$195),2,IF(Data!X105&lt;=QUARTILE(Data!X$4:X$195,3),3,4)))</f>
        <v>3</v>
      </c>
      <c r="Y105" s="28">
        <f>IF(Data!Y105&lt;=QUARTILE(Data!Y$4:Y$195,1),1,IF(Data!Y105&lt;=MEDIAN(Data!Y$4:Y$195),2,IF(Data!Y105&lt;=QUARTILE(Data!Y$4:Y$195,3),3,4)))</f>
        <v>4</v>
      </c>
      <c r="Z105" s="22">
        <f>IF(Data!Z105&lt;=QUARTILE(Data!Z$4:Z$195,1),1,IF(Data!Z105&lt;=MEDIAN(Data!Z$4:Z$195),2,IF(Data!Z105&lt;=QUARTILE(Data!Z$4:Z$195,3),3,4)))</f>
        <v>3</v>
      </c>
      <c r="AA105" s="25">
        <f>IF(Data!AA105&lt;=QUARTILE(Data!AA$4:AA$195,1),1,IF(Data!AA105&lt;=MEDIAN(Data!AA$4:AA$195),2,IF(Data!AA105&lt;=QUARTILE(Data!AA$4:AA$195,3),3,4)))</f>
        <v>4</v>
      </c>
      <c r="AB105" s="22">
        <f>IF(Data!AB105&lt;=QUARTILE(Data!AB$4:AB$195,1),1,IF(Data!AB105&lt;=MEDIAN(Data!AB$4:AB$195),2,IF(Data!AB105&lt;=QUARTILE(Data!AB$4:AB$195,3),3,4)))</f>
        <v>4</v>
      </c>
      <c r="AC105" s="25">
        <f>IF(Data!AC105&lt;=QUARTILE(Data!AC$4:AC$195,1),1,IF(Data!AC105&lt;=MEDIAN(Data!AC$4:AC$195),2,IF(Data!AC105&lt;=QUARTILE(Data!AC$4:AC$195,3),3,4)))</f>
        <v>2</v>
      </c>
      <c r="AD105" s="22">
        <f>IF(Data!AD105&lt;=QUARTILE(Data!AD$4:AD$195,1),1,IF(Data!AD105&lt;=MEDIAN(Data!AD$4:AD$195),2,IF(Data!AD105&lt;=QUARTILE(Data!AD$4:AD$195,3),3,4)))</f>
        <v>2</v>
      </c>
      <c r="AE105" s="28">
        <f>IF(Data!AE105&lt;=QUARTILE(Data!AE$4:AE$195,1),1,IF(Data!AE105&lt;=MEDIAN(Data!AE$4:AE$195),2,IF(Data!AE105&lt;=QUARTILE(Data!AE$4:AE$195,3),3,4)))</f>
        <v>4</v>
      </c>
      <c r="AF105" s="28">
        <f>IF(Data!AF105&lt;=QUARTILE(Data!AF$4:AF$195,1),1,IF(Data!AF105&lt;=MEDIAN(Data!AF$4:AF$195),2,IF(Data!AF105&lt;=QUARTILE(Data!AF$4:AF$195,3),3,4)))</f>
        <v>4</v>
      </c>
      <c r="AG105" s="28">
        <f>IF(Data!AG105&lt;=QUARTILE(Data!AG$4:AG$195,1),1,IF(Data!AG105&lt;=MEDIAN(Data!AG$4:AG$195),2,IF(Data!AG105&lt;=QUARTILE(Data!AG$4:AG$195,3),3,4)))</f>
        <v>3</v>
      </c>
      <c r="AH105" s="22">
        <f>IF(Data!AH105&lt;=QUARTILE(Data!AH$4:AH$195,1),1,IF(Data!AH105&lt;=MEDIAN(Data!AH$4:AH$195),2,IF(Data!AH105&lt;=QUARTILE(Data!AH$4:AH$195,3),3,4)))</f>
        <v>4</v>
      </c>
      <c r="AI105" s="25">
        <f>IF(Data!AI105&lt;=QUARTILE(Data!AI$4:AI$195,1),1,IF(Data!AI105&lt;=MEDIAN(Data!AI$4:AI$195),2,IF(Data!AI105&lt;=QUARTILE(Data!AI$4:AI$195,3),3,4)))</f>
        <v>2</v>
      </c>
      <c r="AJ105" s="22">
        <f>IF(Data!AJ105&lt;=QUARTILE(Data!AJ$4:AJ$195,1),1,IF(Data!AJ105&lt;=MEDIAN(Data!AJ$4:AJ$195),2,IF(Data!AJ105&lt;=QUARTILE(Data!AJ$4:AJ$195,3),3,4)))</f>
        <v>3</v>
      </c>
      <c r="AK105" s="25">
        <f>IF(Data!AK105&lt;=QUARTILE(Data!AK$4:AK$195,1),1,IF(Data!AK105&lt;=MEDIAN(Data!AK$4:AK$195),2,IF(Data!AK105&lt;=QUARTILE(Data!AK$4:AK$195,3),3,4)))</f>
        <v>1</v>
      </c>
      <c r="AL105" s="28">
        <f>IF(Data!AL105&lt;=QUARTILE(Data!AL$4:AL$195,1),1,IF(Data!AL105&lt;=MEDIAN(Data!AL$4:AL$195),2,IF(Data!AL105&lt;=QUARTILE(Data!AL$4:AL$195,3),3,4)))</f>
        <v>1</v>
      </c>
      <c r="AM105" s="28">
        <f>IF(Data!AM105&lt;=QUARTILE(Data!AM$4:AM$195,1),1,IF(Data!AM105&lt;=MEDIAN(Data!AM$4:AM$195),2,IF(Data!AM105&lt;=QUARTILE(Data!AM$4:AM$195,3),3,4)))</f>
        <v>3</v>
      </c>
      <c r="AN105" s="22">
        <f>IF(Data!AN105&lt;=QUARTILE(Data!AN$4:AN$195,1),1,IF(Data!AN105&lt;=MEDIAN(Data!AN$4:AN$195),2,IF(Data!AN105&lt;=QUARTILE(Data!AN$4:AN$195,3),3,4)))</f>
        <v>1</v>
      </c>
      <c r="AO105" s="28">
        <f>IF(Data!AO105&lt;=QUARTILE(Data!AO$4:AO$195,1),1,IF(Data!AO105&lt;=MEDIAN(Data!AO$4:AO$195),2,IF(Data!AO105&lt;=QUARTILE(Data!AO$4:AO$195,3),3,4)))</f>
        <v>3</v>
      </c>
      <c r="AP105" s="28">
        <f>IF(Data!AP105&lt;=QUARTILE(Data!AP$4:AP$195,1),1,IF(Data!AP105&lt;=MEDIAN(Data!AP$4:AP$195),2,IF(Data!AP105&lt;=QUARTILE(Data!AP$4:AP$195,3),3,4)))</f>
        <v>4</v>
      </c>
      <c r="AQ105" s="28">
        <f>IF(Data!AQ105&lt;=QUARTILE(Data!AQ$4:AQ$195,1),1,IF(Data!AQ105&lt;=MEDIAN(Data!AQ$4:AQ$195),2,IF(Data!AQ105&lt;=QUARTILE(Data!AQ$4:AQ$195,3),3,4)))</f>
        <v>2</v>
      </c>
      <c r="AR105" s="28">
        <f>IF(Data!AR105&lt;=QUARTILE(Data!AR$4:AR$195,1),1,IF(Data!AR105&lt;=MEDIAN(Data!AR$4:AR$195),2,IF(Data!AR105&lt;=QUARTILE(Data!AR$4:AR$195,3),3,4)))</f>
        <v>1</v>
      </c>
      <c r="AS105" s="28">
        <f>IF(Data!AS105&lt;=QUARTILE(Data!AS$4:AS$195,1),1,IF(Data!AS105&lt;=MEDIAN(Data!AS$4:AS$195),2,IF(Data!AS105&lt;=QUARTILE(Data!AS$4:AS$195,3),3,4)))</f>
        <v>1</v>
      </c>
      <c r="AT105" s="28">
        <f>IF(Data!AT105&lt;=QUARTILE(Data!AT$4:AT$195,1),1,IF(Data!AT105&lt;=MEDIAN(Data!AT$4:AT$195),2,IF(Data!AT105&lt;=QUARTILE(Data!AT$4:AT$195,3),3,4)))</f>
        <v>3</v>
      </c>
      <c r="AU105" s="22">
        <f>IF(Data!AU105&lt;=QUARTILE(Data!AU$4:AU$195,1),1,IF(Data!AU105&lt;=MEDIAN(Data!AU$4:AU$195),2,IF(Data!AU105&lt;=QUARTILE(Data!AU$4:AU$195,3),3,4)))</f>
        <v>4</v>
      </c>
      <c r="AV105" s="25">
        <f>IF(Data!AV105&lt;=QUARTILE(Data!AV$4:AV$195,1),1,IF(Data!AV105&lt;=MEDIAN(Data!AV$4:AV$195),2,IF(Data!AV105&lt;=QUARTILE(Data!AV$4:AV$195,3),3,4)))</f>
        <v>1</v>
      </c>
      <c r="AW105" s="28">
        <f>IF(Data!AW105&lt;=QUARTILE(Data!AW$4:AW$195,1),1,IF(Data!AW105&lt;=MEDIAN(Data!AW$4:AW$195),2,IF(Data!AW105&lt;=QUARTILE(Data!AW$4:AW$195,3),3,4)))</f>
        <v>1</v>
      </c>
      <c r="AX105" s="28">
        <f>IF(Data!AX105&lt;=QUARTILE(Data!AX$4:AX$195,1),1,IF(Data!AX105&lt;=MEDIAN(Data!AX$4:AX$195),2,IF(Data!AX105&lt;=QUARTILE(Data!AX$4:AX$195,3),3,4)))</f>
        <v>1</v>
      </c>
      <c r="AY105" s="22">
        <f>IF(Data!AY105&lt;=QUARTILE(Data!AY$4:AY$195,1),1,IF(Data!AY105&lt;=MEDIAN(Data!AY$4:AY$195),2,IF(Data!AY105&lt;=QUARTILE(Data!AY$4:AY$195,3),3,4)))</f>
        <v>1</v>
      </c>
      <c r="AZ105" s="25">
        <f>IF(Data!AZ105&lt;=QUARTILE(Data!AZ$4:AZ$195,1),1,IF(Data!AZ105&lt;=MEDIAN(Data!AZ$4:AZ$195),2,IF(Data!AZ105&lt;=QUARTILE(Data!AZ$4:AZ$195,3),3,4)))</f>
        <v>4</v>
      </c>
      <c r="BA105" s="22">
        <f>IF(Data!BA105&lt;=QUARTILE(Data!BA$4:BA$195,1),1,IF(Data!BA105&lt;=MEDIAN(Data!BA$4:BA$195),2,IF(Data!BA105&lt;=QUARTILE(Data!BA$4:BA$195,3),3,4)))</f>
        <v>4</v>
      </c>
    </row>
    <row r="106" spans="1:53" x14ac:dyDescent="0.25">
      <c r="A106" s="4" t="s">
        <v>7</v>
      </c>
      <c r="B106" s="40">
        <v>2006</v>
      </c>
      <c r="C106" s="25">
        <v>8</v>
      </c>
      <c r="D106" s="28">
        <v>8</v>
      </c>
      <c r="E106" s="77" t="s">
        <v>96</v>
      </c>
      <c r="F106" s="28">
        <v>4.0999999999999996</v>
      </c>
      <c r="G106" s="28">
        <v>4</v>
      </c>
      <c r="H106" s="22">
        <v>0</v>
      </c>
      <c r="I106" s="25">
        <f>IF(Data!I106&lt;=QUARTILE(Data!I$4:I$195,1),1,IF(Data!I106&lt;=MEDIAN(Data!I$4:I$195),2,IF(Data!I106&lt;=QUARTILE(Data!I$4:I$195,3),3,4)))</f>
        <v>3</v>
      </c>
      <c r="J106" s="28">
        <f>IF(Data!J106&lt;=QUARTILE(Data!J$4:J$195,1),1,IF(Data!J106&lt;=MEDIAN(Data!J$4:J$195),2,IF(Data!J106&lt;=QUARTILE(Data!J$4:J$195,3),3,4)))</f>
        <v>3</v>
      </c>
      <c r="K106" s="28">
        <f>IF(Data!K106&lt;=QUARTILE(Data!K$4:K$195,1),1,IF(Data!K106&lt;=MEDIAN(Data!K$4:K$195),2,IF(Data!K106&lt;=QUARTILE(Data!K$4:K$195,3),3,4)))</f>
        <v>2</v>
      </c>
      <c r="L106" s="22">
        <f>IF(Data!L106&lt;=QUARTILE(Data!L$4:L$195,1),1,IF(Data!L106&lt;=MEDIAN(Data!L$4:L$195),2,IF(Data!L106&lt;=QUARTILE(Data!L$4:L$195,3),3,4)))</f>
        <v>3</v>
      </c>
      <c r="M106" s="28">
        <f>IF(Data!M106&lt;=QUARTILE(Data!M$4:M$195,1),1,IF(Data!M106&lt;=MEDIAN(Data!M$4:M$195),2,IF(Data!M106&lt;=QUARTILE(Data!M$4:M$195,3),3,4)))</f>
        <v>3</v>
      </c>
      <c r="N106" s="28">
        <f>IF(Data!N106&lt;=QUARTILE(Data!N$4:N$195,1),1,IF(Data!N106&lt;=MEDIAN(Data!N$4:N$195),2,IF(Data!N106&lt;=QUARTILE(Data!N$4:N$195,3),3,4)))</f>
        <v>2</v>
      </c>
      <c r="O106" s="28">
        <f>IF(Data!O106&lt;=QUARTILE(Data!O$4:O$195,1),1,IF(Data!O106&lt;=MEDIAN(Data!O$4:O$195),2,IF(Data!O106&lt;=QUARTILE(Data!O$4:O$195,3),3,4)))</f>
        <v>4</v>
      </c>
      <c r="P106" s="28">
        <f>IF(Data!P106&lt;=QUARTILE(Data!P$4:P$195,1),1,IF(Data!P106&lt;=MEDIAN(Data!P$4:P$195),2,IF(Data!P106&lt;=QUARTILE(Data!P$4:P$195,3),3,4)))</f>
        <v>4</v>
      </c>
      <c r="Q106" s="28">
        <f>IF(Data!Q106&lt;=QUARTILE(Data!Q$4:Q$195,1),1,IF(Data!Q106&lt;=MEDIAN(Data!Q$4:Q$195),2,IF(Data!Q106&lt;=QUARTILE(Data!Q$4:Q$195,3),3,4)))</f>
        <v>4</v>
      </c>
      <c r="R106" s="28">
        <f>IF(Data!R106&lt;=QUARTILE(Data!R$4:R$195,1),1,IF(Data!R106&lt;=MEDIAN(Data!R$4:R$195),2,IF(Data!R106&lt;=QUARTILE(Data!R$4:R$195,3),3,4)))</f>
        <v>4</v>
      </c>
      <c r="S106" s="28">
        <f>IF(Data!S106&lt;=QUARTILE(Data!S$4:S$195,1),1,IF(Data!S106&lt;=MEDIAN(Data!S$4:S$195),2,IF(Data!S106&lt;=QUARTILE(Data!S$4:S$195,3),3,4)))</f>
        <v>3</v>
      </c>
      <c r="T106" s="22">
        <f>IF(Data!T106&lt;=QUARTILE(Data!T$4:T$195,1),1,IF(Data!T106&lt;=MEDIAN(Data!T$4:T$195),2,IF(Data!T106&lt;=QUARTILE(Data!T$4:T$195,3),3,4)))</f>
        <v>3</v>
      </c>
      <c r="U106" s="25">
        <f>IF(Data!U106&lt;=QUARTILE(Data!U$4:U$195,1),1,IF(Data!U106&lt;=MEDIAN(Data!U$4:U$195),2,IF(Data!U106&lt;=QUARTILE(Data!U$4:U$195,3),3,4)))</f>
        <v>2</v>
      </c>
      <c r="V106" s="28">
        <f>IF(Data!V106&lt;=QUARTILE(Data!V$4:V$195,1),1,IF(Data!V106&lt;=MEDIAN(Data!V$4:V$195),2,IF(Data!V106&lt;=QUARTILE(Data!V$4:V$195,3),3,4)))</f>
        <v>2</v>
      </c>
      <c r="W106" s="28">
        <f>IF(Data!W106&lt;=QUARTILE(Data!W$4:W$195,1),1,IF(Data!W106&lt;=MEDIAN(Data!W$4:W$195),2,IF(Data!W106&lt;=QUARTILE(Data!W$4:W$195,3),3,4)))</f>
        <v>3</v>
      </c>
      <c r="X106" s="22">
        <f>IF(Data!X106&lt;=QUARTILE(Data!X$4:X$195,1),1,IF(Data!X106&lt;=MEDIAN(Data!X$4:X$195),2,IF(Data!X106&lt;=QUARTILE(Data!X$4:X$195,3),3,4)))</f>
        <v>2</v>
      </c>
      <c r="Y106" s="28">
        <f>IF(Data!Y106&lt;=QUARTILE(Data!Y$4:Y$195,1),1,IF(Data!Y106&lt;=MEDIAN(Data!Y$4:Y$195),2,IF(Data!Y106&lt;=QUARTILE(Data!Y$4:Y$195,3),3,4)))</f>
        <v>1</v>
      </c>
      <c r="Z106" s="22">
        <f>IF(Data!Z106&lt;=QUARTILE(Data!Z$4:Z$195,1),1,IF(Data!Z106&lt;=MEDIAN(Data!Z$4:Z$195),2,IF(Data!Z106&lt;=QUARTILE(Data!Z$4:Z$195,3),3,4)))</f>
        <v>2</v>
      </c>
      <c r="AA106" s="25">
        <f>IF(Data!AA106&lt;=QUARTILE(Data!AA$4:AA$195,1),1,IF(Data!AA106&lt;=MEDIAN(Data!AA$4:AA$195),2,IF(Data!AA106&lt;=QUARTILE(Data!AA$4:AA$195,3),3,4)))</f>
        <v>2</v>
      </c>
      <c r="AB106" s="22">
        <f>IF(Data!AB106&lt;=QUARTILE(Data!AB$4:AB$195,1),1,IF(Data!AB106&lt;=MEDIAN(Data!AB$4:AB$195),2,IF(Data!AB106&lt;=QUARTILE(Data!AB$4:AB$195,3),3,4)))</f>
        <v>2</v>
      </c>
      <c r="AC106" s="25">
        <f>IF(Data!AC106&lt;=QUARTILE(Data!AC$4:AC$195,1),1,IF(Data!AC106&lt;=MEDIAN(Data!AC$4:AC$195),2,IF(Data!AC106&lt;=QUARTILE(Data!AC$4:AC$195,3),3,4)))</f>
        <v>2</v>
      </c>
      <c r="AD106" s="22">
        <f>IF(Data!AD106&lt;=QUARTILE(Data!AD$4:AD$195,1),1,IF(Data!AD106&lt;=MEDIAN(Data!AD$4:AD$195),2,IF(Data!AD106&lt;=QUARTILE(Data!AD$4:AD$195,3),3,4)))</f>
        <v>1</v>
      </c>
      <c r="AE106" s="28">
        <f>IF(Data!AE106&lt;=QUARTILE(Data!AE$4:AE$195,1),1,IF(Data!AE106&lt;=MEDIAN(Data!AE$4:AE$195),2,IF(Data!AE106&lt;=QUARTILE(Data!AE$4:AE$195,3),3,4)))</f>
        <v>2</v>
      </c>
      <c r="AF106" s="28">
        <f>IF(Data!AF106&lt;=QUARTILE(Data!AF$4:AF$195,1),1,IF(Data!AF106&lt;=MEDIAN(Data!AF$4:AF$195),2,IF(Data!AF106&lt;=QUARTILE(Data!AF$4:AF$195,3),3,4)))</f>
        <v>3</v>
      </c>
      <c r="AG106" s="28">
        <f>IF(Data!AG106&lt;=QUARTILE(Data!AG$4:AG$195,1),1,IF(Data!AG106&lt;=MEDIAN(Data!AG$4:AG$195),2,IF(Data!AG106&lt;=QUARTILE(Data!AG$4:AG$195,3),3,4)))</f>
        <v>3</v>
      </c>
      <c r="AH106" s="22">
        <f>IF(Data!AH106&lt;=QUARTILE(Data!AH$4:AH$195,1),1,IF(Data!AH106&lt;=MEDIAN(Data!AH$4:AH$195),2,IF(Data!AH106&lt;=QUARTILE(Data!AH$4:AH$195,3),3,4)))</f>
        <v>2</v>
      </c>
      <c r="AI106" s="25">
        <f>IF(Data!AI106&lt;=QUARTILE(Data!AI$4:AI$195,1),1,IF(Data!AI106&lt;=MEDIAN(Data!AI$4:AI$195),2,IF(Data!AI106&lt;=QUARTILE(Data!AI$4:AI$195,3),3,4)))</f>
        <v>2</v>
      </c>
      <c r="AJ106" s="22">
        <f>IF(Data!AJ106&lt;=QUARTILE(Data!AJ$4:AJ$195,1),1,IF(Data!AJ106&lt;=MEDIAN(Data!AJ$4:AJ$195),2,IF(Data!AJ106&lt;=QUARTILE(Data!AJ$4:AJ$195,3),3,4)))</f>
        <v>3</v>
      </c>
      <c r="AK106" s="25">
        <f>IF(Data!AK106&lt;=QUARTILE(Data!AK$4:AK$195,1),1,IF(Data!AK106&lt;=MEDIAN(Data!AK$4:AK$195),2,IF(Data!AK106&lt;=QUARTILE(Data!AK$4:AK$195,3),3,4)))</f>
        <v>2</v>
      </c>
      <c r="AL106" s="28">
        <f>IF(Data!AL106&lt;=QUARTILE(Data!AL$4:AL$195,1),1,IF(Data!AL106&lt;=MEDIAN(Data!AL$4:AL$195),2,IF(Data!AL106&lt;=QUARTILE(Data!AL$4:AL$195,3),3,4)))</f>
        <v>4</v>
      </c>
      <c r="AM106" s="28">
        <f>IF(Data!AM106&lt;=QUARTILE(Data!AM$4:AM$195,1),1,IF(Data!AM106&lt;=MEDIAN(Data!AM$4:AM$195),2,IF(Data!AM106&lt;=QUARTILE(Data!AM$4:AM$195,3),3,4)))</f>
        <v>4</v>
      </c>
      <c r="AN106" s="22">
        <f>IF(Data!AN106&lt;=QUARTILE(Data!AN$4:AN$195,1),1,IF(Data!AN106&lt;=MEDIAN(Data!AN$4:AN$195),2,IF(Data!AN106&lt;=QUARTILE(Data!AN$4:AN$195,3),3,4)))</f>
        <v>4</v>
      </c>
      <c r="AO106" s="28">
        <f>IF(Data!AO106&lt;=QUARTILE(Data!AO$4:AO$195,1),1,IF(Data!AO106&lt;=MEDIAN(Data!AO$4:AO$195),2,IF(Data!AO106&lt;=QUARTILE(Data!AO$4:AO$195,3),3,4)))</f>
        <v>4</v>
      </c>
      <c r="AP106" s="28">
        <f>IF(Data!AP106&lt;=QUARTILE(Data!AP$4:AP$195,1),1,IF(Data!AP106&lt;=MEDIAN(Data!AP$4:AP$195),2,IF(Data!AP106&lt;=QUARTILE(Data!AP$4:AP$195,3),3,4)))</f>
        <v>4</v>
      </c>
      <c r="AQ106" s="28">
        <f>IF(Data!AQ106&lt;=QUARTILE(Data!AQ$4:AQ$195,1),1,IF(Data!AQ106&lt;=MEDIAN(Data!AQ$4:AQ$195),2,IF(Data!AQ106&lt;=QUARTILE(Data!AQ$4:AQ$195,3),3,4)))</f>
        <v>4</v>
      </c>
      <c r="AR106" s="28">
        <f>IF(Data!AR106&lt;=QUARTILE(Data!AR$4:AR$195,1),1,IF(Data!AR106&lt;=MEDIAN(Data!AR$4:AR$195),2,IF(Data!AR106&lt;=QUARTILE(Data!AR$4:AR$195,3),3,4)))</f>
        <v>3</v>
      </c>
      <c r="AS106" s="28">
        <f>IF(Data!AS106&lt;=QUARTILE(Data!AS$4:AS$195,1),1,IF(Data!AS106&lt;=MEDIAN(Data!AS$4:AS$195),2,IF(Data!AS106&lt;=QUARTILE(Data!AS$4:AS$195,3),3,4)))</f>
        <v>4</v>
      </c>
      <c r="AT106" s="28">
        <f>IF(Data!AT106&lt;=QUARTILE(Data!AT$4:AT$195,1),1,IF(Data!AT106&lt;=MEDIAN(Data!AT$4:AT$195),2,IF(Data!AT106&lt;=QUARTILE(Data!AT$4:AT$195,3),3,4)))</f>
        <v>2</v>
      </c>
      <c r="AU106" s="22">
        <f>IF(Data!AU106&lt;=QUARTILE(Data!AU$4:AU$195,1),1,IF(Data!AU106&lt;=MEDIAN(Data!AU$4:AU$195),2,IF(Data!AU106&lt;=QUARTILE(Data!AU$4:AU$195,3),3,4)))</f>
        <v>2</v>
      </c>
      <c r="AV106" s="25">
        <f>IF(Data!AV106&lt;=QUARTILE(Data!AV$4:AV$195,1),1,IF(Data!AV106&lt;=MEDIAN(Data!AV$4:AV$195),2,IF(Data!AV106&lt;=QUARTILE(Data!AV$4:AV$195,3),3,4)))</f>
        <v>3</v>
      </c>
      <c r="AW106" s="28">
        <f>IF(Data!AW106&lt;=QUARTILE(Data!AW$4:AW$195,1),1,IF(Data!AW106&lt;=MEDIAN(Data!AW$4:AW$195),2,IF(Data!AW106&lt;=QUARTILE(Data!AW$4:AW$195,3),3,4)))</f>
        <v>3</v>
      </c>
      <c r="AX106" s="28">
        <f>IF(Data!AX106&lt;=QUARTILE(Data!AX$4:AX$195,1),1,IF(Data!AX106&lt;=MEDIAN(Data!AX$4:AX$195),2,IF(Data!AX106&lt;=QUARTILE(Data!AX$4:AX$195,3),3,4)))</f>
        <v>3</v>
      </c>
      <c r="AY106" s="22">
        <f>IF(Data!AY106&lt;=QUARTILE(Data!AY$4:AY$195,1),1,IF(Data!AY106&lt;=MEDIAN(Data!AY$4:AY$195),2,IF(Data!AY106&lt;=QUARTILE(Data!AY$4:AY$195,3),3,4)))</f>
        <v>3</v>
      </c>
      <c r="AZ106" s="25">
        <f>IF(Data!AZ106&lt;=QUARTILE(Data!AZ$4:AZ$195,1),1,IF(Data!AZ106&lt;=MEDIAN(Data!AZ$4:AZ$195),2,IF(Data!AZ106&lt;=QUARTILE(Data!AZ$4:AZ$195,3),3,4)))</f>
        <v>3</v>
      </c>
      <c r="BA106" s="22">
        <f>IF(Data!BA106&lt;=QUARTILE(Data!BA$4:BA$195,1),1,IF(Data!BA106&lt;=MEDIAN(Data!BA$4:BA$195),2,IF(Data!BA106&lt;=QUARTILE(Data!BA$4:BA$195,3),3,4)))</f>
        <v>3</v>
      </c>
    </row>
    <row r="107" spans="1:53" x14ac:dyDescent="0.25">
      <c r="A107" s="4" t="s">
        <v>10</v>
      </c>
      <c r="B107" s="40">
        <v>2006</v>
      </c>
      <c r="C107" s="25">
        <v>4</v>
      </c>
      <c r="D107" s="28">
        <v>12</v>
      </c>
      <c r="E107" s="77" t="s">
        <v>96</v>
      </c>
      <c r="F107" s="28">
        <v>-5.8</v>
      </c>
      <c r="G107" s="28">
        <v>-4.5</v>
      </c>
      <c r="H107" s="22">
        <v>-1.3</v>
      </c>
      <c r="I107" s="25">
        <f>IF(Data!I107&lt;=QUARTILE(Data!I$4:I$195,1),1,IF(Data!I107&lt;=MEDIAN(Data!I$4:I$195),2,IF(Data!I107&lt;=QUARTILE(Data!I$4:I$195,3),3,4)))</f>
        <v>1</v>
      </c>
      <c r="J107" s="28">
        <f>IF(Data!J107&lt;=QUARTILE(Data!J$4:J$195,1),1,IF(Data!J107&lt;=MEDIAN(Data!J$4:J$195),2,IF(Data!J107&lt;=QUARTILE(Data!J$4:J$195,3),3,4)))</f>
        <v>1</v>
      </c>
      <c r="K107" s="28">
        <f>IF(Data!K107&lt;=QUARTILE(Data!K$4:K$195,1),1,IF(Data!K107&lt;=MEDIAN(Data!K$4:K$195),2,IF(Data!K107&lt;=QUARTILE(Data!K$4:K$195,3),3,4)))</f>
        <v>1</v>
      </c>
      <c r="L107" s="22">
        <f>IF(Data!L107&lt;=QUARTILE(Data!L$4:L$195,1),1,IF(Data!L107&lt;=MEDIAN(Data!L$4:L$195),2,IF(Data!L107&lt;=QUARTILE(Data!L$4:L$195,3),3,4)))</f>
        <v>1</v>
      </c>
      <c r="M107" s="28">
        <f>IF(Data!M107&lt;=QUARTILE(Data!M$4:M$195,1),1,IF(Data!M107&lt;=MEDIAN(Data!M$4:M$195),2,IF(Data!M107&lt;=QUARTILE(Data!M$4:M$195,3),3,4)))</f>
        <v>3</v>
      </c>
      <c r="N107" s="28">
        <f>IF(Data!N107&lt;=QUARTILE(Data!N$4:N$195,1),1,IF(Data!N107&lt;=MEDIAN(Data!N$4:N$195),2,IF(Data!N107&lt;=QUARTILE(Data!N$4:N$195,3),3,4)))</f>
        <v>2</v>
      </c>
      <c r="O107" s="28">
        <f>IF(Data!O107&lt;=QUARTILE(Data!O$4:O$195,1),1,IF(Data!O107&lt;=MEDIAN(Data!O$4:O$195),2,IF(Data!O107&lt;=QUARTILE(Data!O$4:O$195,3),3,4)))</f>
        <v>1</v>
      </c>
      <c r="P107" s="28">
        <f>IF(Data!P107&lt;=QUARTILE(Data!P$4:P$195,1),1,IF(Data!P107&lt;=MEDIAN(Data!P$4:P$195),2,IF(Data!P107&lt;=QUARTILE(Data!P$4:P$195,3),3,4)))</f>
        <v>1</v>
      </c>
      <c r="Q107" s="28">
        <f>IF(Data!Q107&lt;=QUARTILE(Data!Q$4:Q$195,1),1,IF(Data!Q107&lt;=MEDIAN(Data!Q$4:Q$195),2,IF(Data!Q107&lt;=QUARTILE(Data!Q$4:Q$195,3),3,4)))</f>
        <v>2</v>
      </c>
      <c r="R107" s="28">
        <f>IF(Data!R107&lt;=QUARTILE(Data!R$4:R$195,1),1,IF(Data!R107&lt;=MEDIAN(Data!R$4:R$195),2,IF(Data!R107&lt;=QUARTILE(Data!R$4:R$195,3),3,4)))</f>
        <v>1</v>
      </c>
      <c r="S107" s="28">
        <f>IF(Data!S107&lt;=QUARTILE(Data!S$4:S$195,1),1,IF(Data!S107&lt;=MEDIAN(Data!S$4:S$195),2,IF(Data!S107&lt;=QUARTILE(Data!S$4:S$195,3),3,4)))</f>
        <v>4</v>
      </c>
      <c r="T107" s="22">
        <f>IF(Data!T107&lt;=QUARTILE(Data!T$4:T$195,1),1,IF(Data!T107&lt;=MEDIAN(Data!T$4:T$195),2,IF(Data!T107&lt;=QUARTILE(Data!T$4:T$195,3),3,4)))</f>
        <v>4</v>
      </c>
      <c r="U107" s="25">
        <f>IF(Data!U107&lt;=QUARTILE(Data!U$4:U$195,1),1,IF(Data!U107&lt;=MEDIAN(Data!U$4:U$195),2,IF(Data!U107&lt;=QUARTILE(Data!U$4:U$195,3),3,4)))</f>
        <v>1</v>
      </c>
      <c r="V107" s="28">
        <f>IF(Data!V107&lt;=QUARTILE(Data!V$4:V$195,1),1,IF(Data!V107&lt;=MEDIAN(Data!V$4:V$195),2,IF(Data!V107&lt;=QUARTILE(Data!V$4:V$195,3),3,4)))</f>
        <v>1</v>
      </c>
      <c r="W107" s="28">
        <f>IF(Data!W107&lt;=QUARTILE(Data!W$4:W$195,1),1,IF(Data!W107&lt;=MEDIAN(Data!W$4:W$195),2,IF(Data!W107&lt;=QUARTILE(Data!W$4:W$195,3),3,4)))</f>
        <v>1</v>
      </c>
      <c r="X107" s="22">
        <f>IF(Data!X107&lt;=QUARTILE(Data!X$4:X$195,1),1,IF(Data!X107&lt;=MEDIAN(Data!X$4:X$195),2,IF(Data!X107&lt;=QUARTILE(Data!X$4:X$195,3),3,4)))</f>
        <v>1</v>
      </c>
      <c r="Y107" s="28">
        <f>IF(Data!Y107&lt;=QUARTILE(Data!Y$4:Y$195,1),1,IF(Data!Y107&lt;=MEDIAN(Data!Y$4:Y$195),2,IF(Data!Y107&lt;=QUARTILE(Data!Y$4:Y$195,3),3,4)))</f>
        <v>4</v>
      </c>
      <c r="Z107" s="22">
        <f>IF(Data!Z107&lt;=QUARTILE(Data!Z$4:Z$195,1),1,IF(Data!Z107&lt;=MEDIAN(Data!Z$4:Z$195),2,IF(Data!Z107&lt;=QUARTILE(Data!Z$4:Z$195,3),3,4)))</f>
        <v>4</v>
      </c>
      <c r="AA107" s="25">
        <f>IF(Data!AA107&lt;=QUARTILE(Data!AA$4:AA$195,1),1,IF(Data!AA107&lt;=MEDIAN(Data!AA$4:AA$195),2,IF(Data!AA107&lt;=QUARTILE(Data!AA$4:AA$195,3),3,4)))</f>
        <v>2</v>
      </c>
      <c r="AB107" s="22">
        <f>IF(Data!AB107&lt;=QUARTILE(Data!AB$4:AB$195,1),1,IF(Data!AB107&lt;=MEDIAN(Data!AB$4:AB$195),2,IF(Data!AB107&lt;=QUARTILE(Data!AB$4:AB$195,3),3,4)))</f>
        <v>3</v>
      </c>
      <c r="AC107" s="25">
        <f>IF(Data!AC107&lt;=QUARTILE(Data!AC$4:AC$195,1),1,IF(Data!AC107&lt;=MEDIAN(Data!AC$4:AC$195),2,IF(Data!AC107&lt;=QUARTILE(Data!AC$4:AC$195,3),3,4)))</f>
        <v>3</v>
      </c>
      <c r="AD107" s="22">
        <f>IF(Data!AD107&lt;=QUARTILE(Data!AD$4:AD$195,1),1,IF(Data!AD107&lt;=MEDIAN(Data!AD$4:AD$195),2,IF(Data!AD107&lt;=QUARTILE(Data!AD$4:AD$195,3),3,4)))</f>
        <v>4</v>
      </c>
      <c r="AE107" s="28">
        <f>IF(Data!AE107&lt;=QUARTILE(Data!AE$4:AE$195,1),1,IF(Data!AE107&lt;=MEDIAN(Data!AE$4:AE$195),2,IF(Data!AE107&lt;=QUARTILE(Data!AE$4:AE$195,3),3,4)))</f>
        <v>2</v>
      </c>
      <c r="AF107" s="28">
        <f>IF(Data!AF107&lt;=QUARTILE(Data!AF$4:AF$195,1),1,IF(Data!AF107&lt;=MEDIAN(Data!AF$4:AF$195),2,IF(Data!AF107&lt;=QUARTILE(Data!AF$4:AF$195,3),3,4)))</f>
        <v>2</v>
      </c>
      <c r="AG107" s="28">
        <f>IF(Data!AG107&lt;=QUARTILE(Data!AG$4:AG$195,1),1,IF(Data!AG107&lt;=MEDIAN(Data!AG$4:AG$195),2,IF(Data!AG107&lt;=QUARTILE(Data!AG$4:AG$195,3),3,4)))</f>
        <v>3</v>
      </c>
      <c r="AH107" s="22">
        <f>IF(Data!AH107&lt;=QUARTILE(Data!AH$4:AH$195,1),1,IF(Data!AH107&lt;=MEDIAN(Data!AH$4:AH$195),2,IF(Data!AH107&lt;=QUARTILE(Data!AH$4:AH$195,3),3,4)))</f>
        <v>2</v>
      </c>
      <c r="AI107" s="25">
        <f>IF(Data!AI107&lt;=QUARTILE(Data!AI$4:AI$195,1),1,IF(Data!AI107&lt;=MEDIAN(Data!AI$4:AI$195),2,IF(Data!AI107&lt;=QUARTILE(Data!AI$4:AI$195,3),3,4)))</f>
        <v>3</v>
      </c>
      <c r="AJ107" s="22">
        <f>IF(Data!AJ107&lt;=QUARTILE(Data!AJ$4:AJ$195,1),1,IF(Data!AJ107&lt;=MEDIAN(Data!AJ$4:AJ$195),2,IF(Data!AJ107&lt;=QUARTILE(Data!AJ$4:AJ$195,3),3,4)))</f>
        <v>4</v>
      </c>
      <c r="AK107" s="25">
        <f>IF(Data!AK107&lt;=QUARTILE(Data!AK$4:AK$195,1),1,IF(Data!AK107&lt;=MEDIAN(Data!AK$4:AK$195),2,IF(Data!AK107&lt;=QUARTILE(Data!AK$4:AK$195,3),3,4)))</f>
        <v>3</v>
      </c>
      <c r="AL107" s="28">
        <f>IF(Data!AL107&lt;=QUARTILE(Data!AL$4:AL$195,1),1,IF(Data!AL107&lt;=MEDIAN(Data!AL$4:AL$195),2,IF(Data!AL107&lt;=QUARTILE(Data!AL$4:AL$195,3),3,4)))</f>
        <v>4</v>
      </c>
      <c r="AM107" s="28">
        <f>IF(Data!AM107&lt;=QUARTILE(Data!AM$4:AM$195,1),1,IF(Data!AM107&lt;=MEDIAN(Data!AM$4:AM$195),2,IF(Data!AM107&lt;=QUARTILE(Data!AM$4:AM$195,3),3,4)))</f>
        <v>4</v>
      </c>
      <c r="AN107" s="22">
        <f>IF(Data!AN107&lt;=QUARTILE(Data!AN$4:AN$195,1),1,IF(Data!AN107&lt;=MEDIAN(Data!AN$4:AN$195),2,IF(Data!AN107&lt;=QUARTILE(Data!AN$4:AN$195,3),3,4)))</f>
        <v>3</v>
      </c>
      <c r="AO107" s="28">
        <f>IF(Data!AO107&lt;=QUARTILE(Data!AO$4:AO$195,1),1,IF(Data!AO107&lt;=MEDIAN(Data!AO$4:AO$195),2,IF(Data!AO107&lt;=QUARTILE(Data!AO$4:AO$195,3),3,4)))</f>
        <v>1</v>
      </c>
      <c r="AP107" s="28">
        <f>IF(Data!AP107&lt;=QUARTILE(Data!AP$4:AP$195,1),1,IF(Data!AP107&lt;=MEDIAN(Data!AP$4:AP$195),2,IF(Data!AP107&lt;=QUARTILE(Data!AP$4:AP$195,3),3,4)))</f>
        <v>2</v>
      </c>
      <c r="AQ107" s="28">
        <f>IF(Data!AQ107&lt;=QUARTILE(Data!AQ$4:AQ$195,1),1,IF(Data!AQ107&lt;=MEDIAN(Data!AQ$4:AQ$195),2,IF(Data!AQ107&lt;=QUARTILE(Data!AQ$4:AQ$195,3),3,4)))</f>
        <v>2</v>
      </c>
      <c r="AR107" s="28">
        <f>IF(Data!AR107&lt;=QUARTILE(Data!AR$4:AR$195,1),1,IF(Data!AR107&lt;=MEDIAN(Data!AR$4:AR$195),2,IF(Data!AR107&lt;=QUARTILE(Data!AR$4:AR$195,3),3,4)))</f>
        <v>2</v>
      </c>
      <c r="AS107" s="28">
        <f>IF(Data!AS107&lt;=QUARTILE(Data!AS$4:AS$195,1),1,IF(Data!AS107&lt;=MEDIAN(Data!AS$4:AS$195),2,IF(Data!AS107&lt;=QUARTILE(Data!AS$4:AS$195,3),3,4)))</f>
        <v>3</v>
      </c>
      <c r="AT107" s="28">
        <f>IF(Data!AT107&lt;=QUARTILE(Data!AT$4:AT$195,1),1,IF(Data!AT107&lt;=MEDIAN(Data!AT$4:AT$195),2,IF(Data!AT107&lt;=QUARTILE(Data!AT$4:AT$195,3),3,4)))</f>
        <v>1</v>
      </c>
      <c r="AU107" s="22">
        <f>IF(Data!AU107&lt;=QUARTILE(Data!AU$4:AU$195,1),1,IF(Data!AU107&lt;=MEDIAN(Data!AU$4:AU$195),2,IF(Data!AU107&lt;=QUARTILE(Data!AU$4:AU$195,3),3,4)))</f>
        <v>1</v>
      </c>
      <c r="AV107" s="25">
        <f>IF(Data!AV107&lt;=QUARTILE(Data!AV$4:AV$195,1),1,IF(Data!AV107&lt;=MEDIAN(Data!AV$4:AV$195),2,IF(Data!AV107&lt;=QUARTILE(Data!AV$4:AV$195,3),3,4)))</f>
        <v>4</v>
      </c>
      <c r="AW107" s="28">
        <f>IF(Data!AW107&lt;=QUARTILE(Data!AW$4:AW$195,1),1,IF(Data!AW107&lt;=MEDIAN(Data!AW$4:AW$195),2,IF(Data!AW107&lt;=QUARTILE(Data!AW$4:AW$195,3),3,4)))</f>
        <v>4</v>
      </c>
      <c r="AX107" s="28">
        <f>IF(Data!AX107&lt;=QUARTILE(Data!AX$4:AX$195,1),1,IF(Data!AX107&lt;=MEDIAN(Data!AX$4:AX$195),2,IF(Data!AX107&lt;=QUARTILE(Data!AX$4:AX$195,3),3,4)))</f>
        <v>3</v>
      </c>
      <c r="AY107" s="22">
        <f>IF(Data!AY107&lt;=QUARTILE(Data!AY$4:AY$195,1),1,IF(Data!AY107&lt;=MEDIAN(Data!AY$4:AY$195),2,IF(Data!AY107&lt;=QUARTILE(Data!AY$4:AY$195,3),3,4)))</f>
        <v>3</v>
      </c>
      <c r="AZ107" s="25">
        <f>IF(Data!AZ107&lt;=QUARTILE(Data!AZ$4:AZ$195,1),1,IF(Data!AZ107&lt;=MEDIAN(Data!AZ$4:AZ$195),2,IF(Data!AZ107&lt;=QUARTILE(Data!AZ$4:AZ$195,3),3,4)))</f>
        <v>3</v>
      </c>
      <c r="BA107" s="22">
        <f>IF(Data!BA107&lt;=QUARTILE(Data!BA$4:BA$195,1),1,IF(Data!BA107&lt;=MEDIAN(Data!BA$4:BA$195),2,IF(Data!BA107&lt;=QUARTILE(Data!BA$4:BA$195,3),3,4)))</f>
        <v>1</v>
      </c>
    </row>
    <row r="108" spans="1:53" x14ac:dyDescent="0.25">
      <c r="A108" s="4" t="s">
        <v>19</v>
      </c>
      <c r="B108" s="40">
        <v>2006</v>
      </c>
      <c r="C108" s="25">
        <v>9</v>
      </c>
      <c r="D108" s="28">
        <v>7</v>
      </c>
      <c r="E108" s="77" t="s">
        <v>97</v>
      </c>
      <c r="F108" s="28">
        <v>3.7</v>
      </c>
      <c r="G108" s="28">
        <v>5</v>
      </c>
      <c r="H108" s="22">
        <v>-1.3</v>
      </c>
      <c r="I108" s="25">
        <f>IF(Data!I108&lt;=QUARTILE(Data!I$4:I$195,1),1,IF(Data!I108&lt;=MEDIAN(Data!I$4:I$195),2,IF(Data!I108&lt;=QUARTILE(Data!I$4:I$195,3),3,4)))</f>
        <v>4</v>
      </c>
      <c r="J108" s="28">
        <f>IF(Data!J108&lt;=QUARTILE(Data!J$4:J$195,1),1,IF(Data!J108&lt;=MEDIAN(Data!J$4:J$195),2,IF(Data!J108&lt;=QUARTILE(Data!J$4:J$195,3),3,4)))</f>
        <v>4</v>
      </c>
      <c r="K108" s="28">
        <f>IF(Data!K108&lt;=QUARTILE(Data!K$4:K$195,1),1,IF(Data!K108&lt;=MEDIAN(Data!K$4:K$195),2,IF(Data!K108&lt;=QUARTILE(Data!K$4:K$195,3),3,4)))</f>
        <v>3</v>
      </c>
      <c r="L108" s="22">
        <f>IF(Data!L108&lt;=QUARTILE(Data!L$4:L$195,1),1,IF(Data!L108&lt;=MEDIAN(Data!L$4:L$195),2,IF(Data!L108&lt;=QUARTILE(Data!L$4:L$195,3),3,4)))</f>
        <v>4</v>
      </c>
      <c r="M108" s="28">
        <f>IF(Data!M108&lt;=QUARTILE(Data!M$4:M$195,1),1,IF(Data!M108&lt;=MEDIAN(Data!M$4:M$195),2,IF(Data!M108&lt;=QUARTILE(Data!M$4:M$195,3),3,4)))</f>
        <v>2</v>
      </c>
      <c r="N108" s="28">
        <f>IF(Data!N108&lt;=QUARTILE(Data!N$4:N$195,1),1,IF(Data!N108&lt;=MEDIAN(Data!N$4:N$195),2,IF(Data!N108&lt;=QUARTILE(Data!N$4:N$195,3),3,4)))</f>
        <v>2</v>
      </c>
      <c r="O108" s="28">
        <f>IF(Data!O108&lt;=QUARTILE(Data!O$4:O$195,1),1,IF(Data!O108&lt;=MEDIAN(Data!O$4:O$195),2,IF(Data!O108&lt;=QUARTILE(Data!O$4:O$195,3),3,4)))</f>
        <v>4</v>
      </c>
      <c r="P108" s="28">
        <f>IF(Data!P108&lt;=QUARTILE(Data!P$4:P$195,1),1,IF(Data!P108&lt;=MEDIAN(Data!P$4:P$195),2,IF(Data!P108&lt;=QUARTILE(Data!P$4:P$195,3),3,4)))</f>
        <v>3</v>
      </c>
      <c r="Q108" s="28">
        <f>IF(Data!Q108&lt;=QUARTILE(Data!Q$4:Q$195,1),1,IF(Data!Q108&lt;=MEDIAN(Data!Q$4:Q$195),2,IF(Data!Q108&lt;=QUARTILE(Data!Q$4:Q$195,3),3,4)))</f>
        <v>4</v>
      </c>
      <c r="R108" s="28">
        <f>IF(Data!R108&lt;=QUARTILE(Data!R$4:R$195,1),1,IF(Data!R108&lt;=MEDIAN(Data!R$4:R$195),2,IF(Data!R108&lt;=QUARTILE(Data!R$4:R$195,3),3,4)))</f>
        <v>3</v>
      </c>
      <c r="S108" s="28">
        <f>IF(Data!S108&lt;=QUARTILE(Data!S$4:S$195,1),1,IF(Data!S108&lt;=MEDIAN(Data!S$4:S$195),2,IF(Data!S108&lt;=QUARTILE(Data!S$4:S$195,3),3,4)))</f>
        <v>3</v>
      </c>
      <c r="T108" s="22">
        <f>IF(Data!T108&lt;=QUARTILE(Data!T$4:T$195,1),1,IF(Data!T108&lt;=MEDIAN(Data!T$4:T$195),2,IF(Data!T108&lt;=QUARTILE(Data!T$4:T$195,3),3,4)))</f>
        <v>3</v>
      </c>
      <c r="U108" s="25">
        <f>IF(Data!U108&lt;=QUARTILE(Data!U$4:U$195,1),1,IF(Data!U108&lt;=MEDIAN(Data!U$4:U$195),2,IF(Data!U108&lt;=QUARTILE(Data!U$4:U$195,3),3,4)))</f>
        <v>3</v>
      </c>
      <c r="V108" s="28">
        <f>IF(Data!V108&lt;=QUARTILE(Data!V$4:V$195,1),1,IF(Data!V108&lt;=MEDIAN(Data!V$4:V$195),2,IF(Data!V108&lt;=QUARTILE(Data!V$4:V$195,3),3,4)))</f>
        <v>3</v>
      </c>
      <c r="W108" s="28">
        <f>IF(Data!W108&lt;=QUARTILE(Data!W$4:W$195,1),1,IF(Data!W108&lt;=MEDIAN(Data!W$4:W$195),2,IF(Data!W108&lt;=QUARTILE(Data!W$4:W$195,3),3,4)))</f>
        <v>4</v>
      </c>
      <c r="X108" s="22">
        <f>IF(Data!X108&lt;=QUARTILE(Data!X$4:X$195,1),1,IF(Data!X108&lt;=MEDIAN(Data!X$4:X$195),2,IF(Data!X108&lt;=QUARTILE(Data!X$4:X$195,3),3,4)))</f>
        <v>3</v>
      </c>
      <c r="Y108" s="28">
        <f>IF(Data!Y108&lt;=QUARTILE(Data!Y$4:Y$195,1),1,IF(Data!Y108&lt;=MEDIAN(Data!Y$4:Y$195),2,IF(Data!Y108&lt;=QUARTILE(Data!Y$4:Y$195,3),3,4)))</f>
        <v>4</v>
      </c>
      <c r="Z108" s="22">
        <f>IF(Data!Z108&lt;=QUARTILE(Data!Z$4:Z$195,1),1,IF(Data!Z108&lt;=MEDIAN(Data!Z$4:Z$195),2,IF(Data!Z108&lt;=QUARTILE(Data!Z$4:Z$195,3),3,4)))</f>
        <v>1</v>
      </c>
      <c r="AA108" s="25">
        <f>IF(Data!AA108&lt;=QUARTILE(Data!AA$4:AA$195,1),1,IF(Data!AA108&lt;=MEDIAN(Data!AA$4:AA$195),2,IF(Data!AA108&lt;=QUARTILE(Data!AA$4:AA$195,3),3,4)))</f>
        <v>3</v>
      </c>
      <c r="AB108" s="22">
        <f>IF(Data!AB108&lt;=QUARTILE(Data!AB$4:AB$195,1),1,IF(Data!AB108&lt;=MEDIAN(Data!AB$4:AB$195),2,IF(Data!AB108&lt;=QUARTILE(Data!AB$4:AB$195,3),3,4)))</f>
        <v>3</v>
      </c>
      <c r="AC108" s="25">
        <f>IF(Data!AC108&lt;=QUARTILE(Data!AC$4:AC$195,1),1,IF(Data!AC108&lt;=MEDIAN(Data!AC$4:AC$195),2,IF(Data!AC108&lt;=QUARTILE(Data!AC$4:AC$195,3),3,4)))</f>
        <v>2</v>
      </c>
      <c r="AD108" s="22">
        <f>IF(Data!AD108&lt;=QUARTILE(Data!AD$4:AD$195,1),1,IF(Data!AD108&lt;=MEDIAN(Data!AD$4:AD$195),2,IF(Data!AD108&lt;=QUARTILE(Data!AD$4:AD$195,3),3,4)))</f>
        <v>3</v>
      </c>
      <c r="AE108" s="28">
        <f>IF(Data!AE108&lt;=QUARTILE(Data!AE$4:AE$195,1),1,IF(Data!AE108&lt;=MEDIAN(Data!AE$4:AE$195),2,IF(Data!AE108&lt;=QUARTILE(Data!AE$4:AE$195,3),3,4)))</f>
        <v>2</v>
      </c>
      <c r="AF108" s="28">
        <f>IF(Data!AF108&lt;=QUARTILE(Data!AF$4:AF$195,1),1,IF(Data!AF108&lt;=MEDIAN(Data!AF$4:AF$195),2,IF(Data!AF108&lt;=QUARTILE(Data!AF$4:AF$195,3),3,4)))</f>
        <v>2</v>
      </c>
      <c r="AG108" s="28">
        <f>IF(Data!AG108&lt;=QUARTILE(Data!AG$4:AG$195,1),1,IF(Data!AG108&lt;=MEDIAN(Data!AG$4:AG$195),2,IF(Data!AG108&lt;=QUARTILE(Data!AG$4:AG$195,3),3,4)))</f>
        <v>2</v>
      </c>
      <c r="AH108" s="22">
        <f>IF(Data!AH108&lt;=QUARTILE(Data!AH$4:AH$195,1),1,IF(Data!AH108&lt;=MEDIAN(Data!AH$4:AH$195),2,IF(Data!AH108&lt;=QUARTILE(Data!AH$4:AH$195,3),3,4)))</f>
        <v>1</v>
      </c>
      <c r="AI108" s="25">
        <f>IF(Data!AI108&lt;=QUARTILE(Data!AI$4:AI$195,1),1,IF(Data!AI108&lt;=MEDIAN(Data!AI$4:AI$195),2,IF(Data!AI108&lt;=QUARTILE(Data!AI$4:AI$195,3),3,4)))</f>
        <v>1</v>
      </c>
      <c r="AJ108" s="22">
        <f>IF(Data!AJ108&lt;=QUARTILE(Data!AJ$4:AJ$195,1),1,IF(Data!AJ108&lt;=MEDIAN(Data!AJ$4:AJ$195),2,IF(Data!AJ108&lt;=QUARTILE(Data!AJ$4:AJ$195,3),3,4)))</f>
        <v>2</v>
      </c>
      <c r="AK108" s="25">
        <f>IF(Data!AK108&lt;=QUARTILE(Data!AK$4:AK$195,1),1,IF(Data!AK108&lt;=MEDIAN(Data!AK$4:AK$195),2,IF(Data!AK108&lt;=QUARTILE(Data!AK$4:AK$195,3),3,4)))</f>
        <v>3</v>
      </c>
      <c r="AL108" s="28">
        <f>IF(Data!AL108&lt;=QUARTILE(Data!AL$4:AL$195,1),1,IF(Data!AL108&lt;=MEDIAN(Data!AL$4:AL$195),2,IF(Data!AL108&lt;=QUARTILE(Data!AL$4:AL$195,3),3,4)))</f>
        <v>2</v>
      </c>
      <c r="AM108" s="28">
        <f>IF(Data!AM108&lt;=QUARTILE(Data!AM$4:AM$195,1),1,IF(Data!AM108&lt;=MEDIAN(Data!AM$4:AM$195),2,IF(Data!AM108&lt;=QUARTILE(Data!AM$4:AM$195,3),3,4)))</f>
        <v>1</v>
      </c>
      <c r="AN108" s="22">
        <f>IF(Data!AN108&lt;=QUARTILE(Data!AN$4:AN$195,1),1,IF(Data!AN108&lt;=MEDIAN(Data!AN$4:AN$195),2,IF(Data!AN108&lt;=QUARTILE(Data!AN$4:AN$195,3),3,4)))</f>
        <v>2</v>
      </c>
      <c r="AO108" s="28">
        <f>IF(Data!AO108&lt;=QUARTILE(Data!AO$4:AO$195,1),1,IF(Data!AO108&lt;=MEDIAN(Data!AO$4:AO$195),2,IF(Data!AO108&lt;=QUARTILE(Data!AO$4:AO$195,3),3,4)))</f>
        <v>2</v>
      </c>
      <c r="AP108" s="28">
        <f>IF(Data!AP108&lt;=QUARTILE(Data!AP$4:AP$195,1),1,IF(Data!AP108&lt;=MEDIAN(Data!AP$4:AP$195),2,IF(Data!AP108&lt;=QUARTILE(Data!AP$4:AP$195,3),3,4)))</f>
        <v>2</v>
      </c>
      <c r="AQ108" s="28">
        <f>IF(Data!AQ108&lt;=QUARTILE(Data!AQ$4:AQ$195,1),1,IF(Data!AQ108&lt;=MEDIAN(Data!AQ$4:AQ$195),2,IF(Data!AQ108&lt;=QUARTILE(Data!AQ$4:AQ$195,3),3,4)))</f>
        <v>3</v>
      </c>
      <c r="AR108" s="28">
        <f>IF(Data!AR108&lt;=QUARTILE(Data!AR$4:AR$195,1),1,IF(Data!AR108&lt;=MEDIAN(Data!AR$4:AR$195),2,IF(Data!AR108&lt;=QUARTILE(Data!AR$4:AR$195,3),3,4)))</f>
        <v>3</v>
      </c>
      <c r="AS108" s="28">
        <f>IF(Data!AS108&lt;=QUARTILE(Data!AS$4:AS$195,1),1,IF(Data!AS108&lt;=MEDIAN(Data!AS$4:AS$195),2,IF(Data!AS108&lt;=QUARTILE(Data!AS$4:AS$195,3),3,4)))</f>
        <v>3</v>
      </c>
      <c r="AT108" s="28">
        <f>IF(Data!AT108&lt;=QUARTILE(Data!AT$4:AT$195,1),1,IF(Data!AT108&lt;=MEDIAN(Data!AT$4:AT$195),2,IF(Data!AT108&lt;=QUARTILE(Data!AT$4:AT$195,3),3,4)))</f>
        <v>2</v>
      </c>
      <c r="AU108" s="22">
        <f>IF(Data!AU108&lt;=QUARTILE(Data!AU$4:AU$195,1),1,IF(Data!AU108&lt;=MEDIAN(Data!AU$4:AU$195),2,IF(Data!AU108&lt;=QUARTILE(Data!AU$4:AU$195,3),3,4)))</f>
        <v>2</v>
      </c>
      <c r="AV108" s="25">
        <f>IF(Data!AV108&lt;=QUARTILE(Data!AV$4:AV$195,1),1,IF(Data!AV108&lt;=MEDIAN(Data!AV$4:AV$195),2,IF(Data!AV108&lt;=QUARTILE(Data!AV$4:AV$195,3),3,4)))</f>
        <v>2</v>
      </c>
      <c r="AW108" s="28">
        <f>IF(Data!AW108&lt;=QUARTILE(Data!AW$4:AW$195,1),1,IF(Data!AW108&lt;=MEDIAN(Data!AW$4:AW$195),2,IF(Data!AW108&lt;=QUARTILE(Data!AW$4:AW$195,3),3,4)))</f>
        <v>2</v>
      </c>
      <c r="AX108" s="28">
        <f>IF(Data!AX108&lt;=QUARTILE(Data!AX$4:AX$195,1),1,IF(Data!AX108&lt;=MEDIAN(Data!AX$4:AX$195),2,IF(Data!AX108&lt;=QUARTILE(Data!AX$4:AX$195,3),3,4)))</f>
        <v>2</v>
      </c>
      <c r="AY108" s="22">
        <f>IF(Data!AY108&lt;=QUARTILE(Data!AY$4:AY$195,1),1,IF(Data!AY108&lt;=MEDIAN(Data!AY$4:AY$195),2,IF(Data!AY108&lt;=QUARTILE(Data!AY$4:AY$195,3),3,4)))</f>
        <v>2</v>
      </c>
      <c r="AZ108" s="25">
        <f>IF(Data!AZ108&lt;=QUARTILE(Data!AZ$4:AZ$195,1),1,IF(Data!AZ108&lt;=MEDIAN(Data!AZ$4:AZ$195),2,IF(Data!AZ108&lt;=QUARTILE(Data!AZ$4:AZ$195,3),3,4)))</f>
        <v>3</v>
      </c>
      <c r="BA108" s="22">
        <f>IF(Data!BA108&lt;=QUARTILE(Data!BA$4:BA$195,1),1,IF(Data!BA108&lt;=MEDIAN(Data!BA$4:BA$195),2,IF(Data!BA108&lt;=QUARTILE(Data!BA$4:BA$195,3),3,4)))</f>
        <v>3</v>
      </c>
    </row>
    <row r="109" spans="1:53" x14ac:dyDescent="0.25">
      <c r="A109" s="4" t="s">
        <v>16</v>
      </c>
      <c r="B109" s="40">
        <v>2006</v>
      </c>
      <c r="C109" s="25">
        <v>9</v>
      </c>
      <c r="D109" s="28">
        <v>7</v>
      </c>
      <c r="E109" s="77" t="s">
        <v>96</v>
      </c>
      <c r="F109" s="28">
        <v>1.3</v>
      </c>
      <c r="G109" s="28">
        <v>-0.8</v>
      </c>
      <c r="H109" s="22">
        <v>2.1</v>
      </c>
      <c r="I109" s="25">
        <f>IF(Data!I109&lt;=QUARTILE(Data!I$4:I$195,1),1,IF(Data!I109&lt;=MEDIAN(Data!I$4:I$195),2,IF(Data!I109&lt;=QUARTILE(Data!I$4:I$195,3),3,4)))</f>
        <v>2</v>
      </c>
      <c r="J109" s="28">
        <f>IF(Data!J109&lt;=QUARTILE(Data!J$4:J$195,1),1,IF(Data!J109&lt;=MEDIAN(Data!J$4:J$195),2,IF(Data!J109&lt;=QUARTILE(Data!J$4:J$195,3),3,4)))</f>
        <v>2</v>
      </c>
      <c r="K109" s="28">
        <f>IF(Data!K109&lt;=QUARTILE(Data!K$4:K$195,1),1,IF(Data!K109&lt;=MEDIAN(Data!K$4:K$195),2,IF(Data!K109&lt;=QUARTILE(Data!K$4:K$195,3),3,4)))</f>
        <v>2</v>
      </c>
      <c r="L109" s="22">
        <f>IF(Data!L109&lt;=QUARTILE(Data!L$4:L$195,1),1,IF(Data!L109&lt;=MEDIAN(Data!L$4:L$195),2,IF(Data!L109&lt;=QUARTILE(Data!L$4:L$195,3),3,4)))</f>
        <v>2</v>
      </c>
      <c r="M109" s="28">
        <f>IF(Data!M109&lt;=QUARTILE(Data!M$4:M$195,1),1,IF(Data!M109&lt;=MEDIAN(Data!M$4:M$195),2,IF(Data!M109&lt;=QUARTILE(Data!M$4:M$195,3),3,4)))</f>
        <v>1</v>
      </c>
      <c r="N109" s="28">
        <f>IF(Data!N109&lt;=QUARTILE(Data!N$4:N$195,1),1,IF(Data!N109&lt;=MEDIAN(Data!N$4:N$195),2,IF(Data!N109&lt;=QUARTILE(Data!N$4:N$195,3),3,4)))</f>
        <v>1</v>
      </c>
      <c r="O109" s="28">
        <f>IF(Data!O109&lt;=QUARTILE(Data!O$4:O$195,1),1,IF(Data!O109&lt;=MEDIAN(Data!O$4:O$195),2,IF(Data!O109&lt;=QUARTILE(Data!O$4:O$195,3),3,4)))</f>
        <v>1</v>
      </c>
      <c r="P109" s="28">
        <f>IF(Data!P109&lt;=QUARTILE(Data!P$4:P$195,1),1,IF(Data!P109&lt;=MEDIAN(Data!P$4:P$195),2,IF(Data!P109&lt;=QUARTILE(Data!P$4:P$195,3),3,4)))</f>
        <v>2</v>
      </c>
      <c r="Q109" s="28">
        <f>IF(Data!Q109&lt;=QUARTILE(Data!Q$4:Q$195,1),1,IF(Data!Q109&lt;=MEDIAN(Data!Q$4:Q$195),2,IF(Data!Q109&lt;=QUARTILE(Data!Q$4:Q$195,3),3,4)))</f>
        <v>1</v>
      </c>
      <c r="R109" s="28">
        <f>IF(Data!R109&lt;=QUARTILE(Data!R$4:R$195,1),1,IF(Data!R109&lt;=MEDIAN(Data!R$4:R$195),2,IF(Data!R109&lt;=QUARTILE(Data!R$4:R$195,3),3,4)))</f>
        <v>2</v>
      </c>
      <c r="S109" s="28">
        <f>IF(Data!S109&lt;=QUARTILE(Data!S$4:S$195,1),1,IF(Data!S109&lt;=MEDIAN(Data!S$4:S$195),2,IF(Data!S109&lt;=QUARTILE(Data!S$4:S$195,3),3,4)))</f>
        <v>2</v>
      </c>
      <c r="T109" s="22">
        <f>IF(Data!T109&lt;=QUARTILE(Data!T$4:T$195,1),1,IF(Data!T109&lt;=MEDIAN(Data!T$4:T$195),2,IF(Data!T109&lt;=QUARTILE(Data!T$4:T$195,3),3,4)))</f>
        <v>2</v>
      </c>
      <c r="U109" s="25">
        <f>IF(Data!U109&lt;=QUARTILE(Data!U$4:U$195,1),1,IF(Data!U109&lt;=MEDIAN(Data!U$4:U$195),2,IF(Data!U109&lt;=QUARTILE(Data!U$4:U$195,3),3,4)))</f>
        <v>4</v>
      </c>
      <c r="V109" s="28">
        <f>IF(Data!V109&lt;=QUARTILE(Data!V$4:V$195,1),1,IF(Data!V109&lt;=MEDIAN(Data!V$4:V$195),2,IF(Data!V109&lt;=QUARTILE(Data!V$4:V$195,3),3,4)))</f>
        <v>4</v>
      </c>
      <c r="W109" s="28">
        <f>IF(Data!W109&lt;=QUARTILE(Data!W$4:W$195,1),1,IF(Data!W109&lt;=MEDIAN(Data!W$4:W$195),2,IF(Data!W109&lt;=QUARTILE(Data!W$4:W$195,3),3,4)))</f>
        <v>2</v>
      </c>
      <c r="X109" s="22">
        <f>IF(Data!X109&lt;=QUARTILE(Data!X$4:X$195,1),1,IF(Data!X109&lt;=MEDIAN(Data!X$4:X$195),2,IF(Data!X109&lt;=QUARTILE(Data!X$4:X$195,3),3,4)))</f>
        <v>3</v>
      </c>
      <c r="Y109" s="28">
        <f>IF(Data!Y109&lt;=QUARTILE(Data!Y$4:Y$195,1),1,IF(Data!Y109&lt;=MEDIAN(Data!Y$4:Y$195),2,IF(Data!Y109&lt;=QUARTILE(Data!Y$4:Y$195,3),3,4)))</f>
        <v>3</v>
      </c>
      <c r="Z109" s="22">
        <f>IF(Data!Z109&lt;=QUARTILE(Data!Z$4:Z$195,1),1,IF(Data!Z109&lt;=MEDIAN(Data!Z$4:Z$195),2,IF(Data!Z109&lt;=QUARTILE(Data!Z$4:Z$195,3),3,4)))</f>
        <v>2</v>
      </c>
      <c r="AA109" s="25">
        <f>IF(Data!AA109&lt;=QUARTILE(Data!AA$4:AA$195,1),1,IF(Data!AA109&lt;=MEDIAN(Data!AA$4:AA$195),2,IF(Data!AA109&lt;=QUARTILE(Data!AA$4:AA$195,3),3,4)))</f>
        <v>2</v>
      </c>
      <c r="AB109" s="22">
        <f>IF(Data!AB109&lt;=QUARTILE(Data!AB$4:AB$195,1),1,IF(Data!AB109&lt;=MEDIAN(Data!AB$4:AB$195),2,IF(Data!AB109&lt;=QUARTILE(Data!AB$4:AB$195,3),3,4)))</f>
        <v>2</v>
      </c>
      <c r="AC109" s="25">
        <f>IF(Data!AC109&lt;=QUARTILE(Data!AC$4:AC$195,1),1,IF(Data!AC109&lt;=MEDIAN(Data!AC$4:AC$195),2,IF(Data!AC109&lt;=QUARTILE(Data!AC$4:AC$195,3),3,4)))</f>
        <v>1</v>
      </c>
      <c r="AD109" s="22">
        <f>IF(Data!AD109&lt;=QUARTILE(Data!AD$4:AD$195,1),1,IF(Data!AD109&lt;=MEDIAN(Data!AD$4:AD$195),2,IF(Data!AD109&lt;=QUARTILE(Data!AD$4:AD$195,3),3,4)))</f>
        <v>1</v>
      </c>
      <c r="AE109" s="28">
        <f>IF(Data!AE109&lt;=QUARTILE(Data!AE$4:AE$195,1),1,IF(Data!AE109&lt;=MEDIAN(Data!AE$4:AE$195),2,IF(Data!AE109&lt;=QUARTILE(Data!AE$4:AE$195,3),3,4)))</f>
        <v>3</v>
      </c>
      <c r="AF109" s="28">
        <f>IF(Data!AF109&lt;=QUARTILE(Data!AF$4:AF$195,1),1,IF(Data!AF109&lt;=MEDIAN(Data!AF$4:AF$195),2,IF(Data!AF109&lt;=QUARTILE(Data!AF$4:AF$195,3),3,4)))</f>
        <v>4</v>
      </c>
      <c r="AG109" s="28">
        <f>IF(Data!AG109&lt;=QUARTILE(Data!AG$4:AG$195,1),1,IF(Data!AG109&lt;=MEDIAN(Data!AG$4:AG$195),2,IF(Data!AG109&lt;=QUARTILE(Data!AG$4:AG$195,3),3,4)))</f>
        <v>1</v>
      </c>
      <c r="AH109" s="22">
        <f>IF(Data!AH109&lt;=QUARTILE(Data!AH$4:AH$195,1),1,IF(Data!AH109&lt;=MEDIAN(Data!AH$4:AH$195),2,IF(Data!AH109&lt;=QUARTILE(Data!AH$4:AH$195,3),3,4)))</f>
        <v>2</v>
      </c>
      <c r="AI109" s="25">
        <f>IF(Data!AI109&lt;=QUARTILE(Data!AI$4:AI$195,1),1,IF(Data!AI109&lt;=MEDIAN(Data!AI$4:AI$195),2,IF(Data!AI109&lt;=QUARTILE(Data!AI$4:AI$195,3),3,4)))</f>
        <v>3</v>
      </c>
      <c r="AJ109" s="22">
        <f>IF(Data!AJ109&lt;=QUARTILE(Data!AJ$4:AJ$195,1),1,IF(Data!AJ109&lt;=MEDIAN(Data!AJ$4:AJ$195),2,IF(Data!AJ109&lt;=QUARTILE(Data!AJ$4:AJ$195,3),3,4)))</f>
        <v>3</v>
      </c>
      <c r="AK109" s="25">
        <f>IF(Data!AK109&lt;=QUARTILE(Data!AK$4:AK$195,1),1,IF(Data!AK109&lt;=MEDIAN(Data!AK$4:AK$195),2,IF(Data!AK109&lt;=QUARTILE(Data!AK$4:AK$195,3),3,4)))</f>
        <v>2</v>
      </c>
      <c r="AL109" s="28">
        <f>IF(Data!AL109&lt;=QUARTILE(Data!AL$4:AL$195,1),1,IF(Data!AL109&lt;=MEDIAN(Data!AL$4:AL$195),2,IF(Data!AL109&lt;=QUARTILE(Data!AL$4:AL$195,3),3,4)))</f>
        <v>2</v>
      </c>
      <c r="AM109" s="28">
        <f>IF(Data!AM109&lt;=QUARTILE(Data!AM$4:AM$195,1),1,IF(Data!AM109&lt;=MEDIAN(Data!AM$4:AM$195),2,IF(Data!AM109&lt;=QUARTILE(Data!AM$4:AM$195,3),3,4)))</f>
        <v>3</v>
      </c>
      <c r="AN109" s="22">
        <f>IF(Data!AN109&lt;=QUARTILE(Data!AN$4:AN$195,1),1,IF(Data!AN109&lt;=MEDIAN(Data!AN$4:AN$195),2,IF(Data!AN109&lt;=QUARTILE(Data!AN$4:AN$195,3),3,4)))</f>
        <v>2</v>
      </c>
      <c r="AO109" s="28">
        <f>IF(Data!AO109&lt;=QUARTILE(Data!AO$4:AO$195,1),1,IF(Data!AO109&lt;=MEDIAN(Data!AO$4:AO$195),2,IF(Data!AO109&lt;=QUARTILE(Data!AO$4:AO$195,3),3,4)))</f>
        <v>3</v>
      </c>
      <c r="AP109" s="28">
        <f>IF(Data!AP109&lt;=QUARTILE(Data!AP$4:AP$195,1),1,IF(Data!AP109&lt;=MEDIAN(Data!AP$4:AP$195),2,IF(Data!AP109&lt;=QUARTILE(Data!AP$4:AP$195,3),3,4)))</f>
        <v>3</v>
      </c>
      <c r="AQ109" s="28">
        <f>IF(Data!AQ109&lt;=QUARTILE(Data!AQ$4:AQ$195,1),1,IF(Data!AQ109&lt;=MEDIAN(Data!AQ$4:AQ$195),2,IF(Data!AQ109&lt;=QUARTILE(Data!AQ$4:AQ$195,3),3,4)))</f>
        <v>3</v>
      </c>
      <c r="AR109" s="28">
        <f>IF(Data!AR109&lt;=QUARTILE(Data!AR$4:AR$195,1),1,IF(Data!AR109&lt;=MEDIAN(Data!AR$4:AR$195),2,IF(Data!AR109&lt;=QUARTILE(Data!AR$4:AR$195,3),3,4)))</f>
        <v>1</v>
      </c>
      <c r="AS109" s="28">
        <f>IF(Data!AS109&lt;=QUARTILE(Data!AS$4:AS$195,1),1,IF(Data!AS109&lt;=MEDIAN(Data!AS$4:AS$195),2,IF(Data!AS109&lt;=QUARTILE(Data!AS$4:AS$195,3),3,4)))</f>
        <v>3</v>
      </c>
      <c r="AT109" s="28">
        <f>IF(Data!AT109&lt;=QUARTILE(Data!AT$4:AT$195,1),1,IF(Data!AT109&lt;=MEDIAN(Data!AT$4:AT$195),2,IF(Data!AT109&lt;=QUARTILE(Data!AT$4:AT$195,3),3,4)))</f>
        <v>3</v>
      </c>
      <c r="AU109" s="22">
        <f>IF(Data!AU109&lt;=QUARTILE(Data!AU$4:AU$195,1),1,IF(Data!AU109&lt;=MEDIAN(Data!AU$4:AU$195),2,IF(Data!AU109&lt;=QUARTILE(Data!AU$4:AU$195,3),3,4)))</f>
        <v>2</v>
      </c>
      <c r="AV109" s="25">
        <f>IF(Data!AV109&lt;=QUARTILE(Data!AV$4:AV$195,1),1,IF(Data!AV109&lt;=MEDIAN(Data!AV$4:AV$195),2,IF(Data!AV109&lt;=QUARTILE(Data!AV$4:AV$195,3),3,4)))</f>
        <v>3</v>
      </c>
      <c r="AW109" s="28">
        <f>IF(Data!AW109&lt;=QUARTILE(Data!AW$4:AW$195,1),1,IF(Data!AW109&lt;=MEDIAN(Data!AW$4:AW$195),2,IF(Data!AW109&lt;=QUARTILE(Data!AW$4:AW$195,3),3,4)))</f>
        <v>2</v>
      </c>
      <c r="AX109" s="28">
        <f>IF(Data!AX109&lt;=QUARTILE(Data!AX$4:AX$195,1),1,IF(Data!AX109&lt;=MEDIAN(Data!AX$4:AX$195),2,IF(Data!AX109&lt;=QUARTILE(Data!AX$4:AX$195,3),3,4)))</f>
        <v>2</v>
      </c>
      <c r="AY109" s="22">
        <f>IF(Data!AY109&lt;=QUARTILE(Data!AY$4:AY$195,1),1,IF(Data!AY109&lt;=MEDIAN(Data!AY$4:AY$195),2,IF(Data!AY109&lt;=QUARTILE(Data!AY$4:AY$195,3),3,4)))</f>
        <v>2</v>
      </c>
      <c r="AZ109" s="25">
        <f>IF(Data!AZ109&lt;=QUARTILE(Data!AZ$4:AZ$195,1),1,IF(Data!AZ109&lt;=MEDIAN(Data!AZ$4:AZ$195),2,IF(Data!AZ109&lt;=QUARTILE(Data!AZ$4:AZ$195,3),3,4)))</f>
        <v>3</v>
      </c>
      <c r="BA109" s="22">
        <f>IF(Data!BA109&lt;=QUARTILE(Data!BA$4:BA$195,1),1,IF(Data!BA109&lt;=MEDIAN(Data!BA$4:BA$195),2,IF(Data!BA109&lt;=QUARTILE(Data!BA$4:BA$195,3),3,4)))</f>
        <v>3</v>
      </c>
    </row>
    <row r="110" spans="1:53" x14ac:dyDescent="0.25">
      <c r="A110" s="4" t="s">
        <v>26</v>
      </c>
      <c r="B110" s="40">
        <v>2006</v>
      </c>
      <c r="C110" s="25">
        <v>3</v>
      </c>
      <c r="D110" s="28">
        <v>13</v>
      </c>
      <c r="E110" s="77" t="s">
        <v>96</v>
      </c>
      <c r="F110" s="28">
        <v>-6.4</v>
      </c>
      <c r="G110" s="28">
        <v>-1.8</v>
      </c>
      <c r="H110" s="22">
        <v>-4.5999999999999996</v>
      </c>
      <c r="I110" s="25">
        <f>IF(Data!I110&lt;=QUARTILE(Data!I$4:I$195,1),1,IF(Data!I110&lt;=MEDIAN(Data!I$4:I$195),2,IF(Data!I110&lt;=QUARTILE(Data!I$4:I$195,3),3,4)))</f>
        <v>2</v>
      </c>
      <c r="J110" s="28">
        <f>IF(Data!J110&lt;=QUARTILE(Data!J$4:J$195,1),1,IF(Data!J110&lt;=MEDIAN(Data!J$4:J$195),2,IF(Data!J110&lt;=QUARTILE(Data!J$4:J$195,3),3,4)))</f>
        <v>2</v>
      </c>
      <c r="K110" s="28">
        <f>IF(Data!K110&lt;=QUARTILE(Data!K$4:K$195,1),1,IF(Data!K110&lt;=MEDIAN(Data!K$4:K$195),2,IF(Data!K110&lt;=QUARTILE(Data!K$4:K$195,3),3,4)))</f>
        <v>1</v>
      </c>
      <c r="L110" s="22">
        <f>IF(Data!L110&lt;=QUARTILE(Data!L$4:L$195,1),1,IF(Data!L110&lt;=MEDIAN(Data!L$4:L$195),2,IF(Data!L110&lt;=QUARTILE(Data!L$4:L$195,3),3,4)))</f>
        <v>2</v>
      </c>
      <c r="M110" s="28">
        <f>IF(Data!M110&lt;=QUARTILE(Data!M$4:M$195,1),1,IF(Data!M110&lt;=MEDIAN(Data!M$4:M$195),2,IF(Data!M110&lt;=QUARTILE(Data!M$4:M$195,3),3,4)))</f>
        <v>4</v>
      </c>
      <c r="N110" s="28">
        <f>IF(Data!N110&lt;=QUARTILE(Data!N$4:N$195,1),1,IF(Data!N110&lt;=MEDIAN(Data!N$4:N$195),2,IF(Data!N110&lt;=QUARTILE(Data!N$4:N$195,3),3,4)))</f>
        <v>4</v>
      </c>
      <c r="O110" s="28">
        <f>IF(Data!O110&lt;=QUARTILE(Data!O$4:O$195,1),1,IF(Data!O110&lt;=MEDIAN(Data!O$4:O$195),2,IF(Data!O110&lt;=QUARTILE(Data!O$4:O$195,3),3,4)))</f>
        <v>4</v>
      </c>
      <c r="P110" s="28">
        <f>IF(Data!P110&lt;=QUARTILE(Data!P$4:P$195,1),1,IF(Data!P110&lt;=MEDIAN(Data!P$4:P$195),2,IF(Data!P110&lt;=QUARTILE(Data!P$4:P$195,3),3,4)))</f>
        <v>2</v>
      </c>
      <c r="Q110" s="28">
        <f>IF(Data!Q110&lt;=QUARTILE(Data!Q$4:Q$195,1),1,IF(Data!Q110&lt;=MEDIAN(Data!Q$4:Q$195),2,IF(Data!Q110&lt;=QUARTILE(Data!Q$4:Q$195,3),3,4)))</f>
        <v>4</v>
      </c>
      <c r="R110" s="28">
        <f>IF(Data!R110&lt;=QUARTILE(Data!R$4:R$195,1),1,IF(Data!R110&lt;=MEDIAN(Data!R$4:R$195),2,IF(Data!R110&lt;=QUARTILE(Data!R$4:R$195,3),3,4)))</f>
        <v>2</v>
      </c>
      <c r="S110" s="28">
        <f>IF(Data!S110&lt;=QUARTILE(Data!S$4:S$195,1),1,IF(Data!S110&lt;=MEDIAN(Data!S$4:S$195),2,IF(Data!S110&lt;=QUARTILE(Data!S$4:S$195,3),3,4)))</f>
        <v>4</v>
      </c>
      <c r="T110" s="22">
        <f>IF(Data!T110&lt;=QUARTILE(Data!T$4:T$195,1),1,IF(Data!T110&lt;=MEDIAN(Data!T$4:T$195),2,IF(Data!T110&lt;=QUARTILE(Data!T$4:T$195,3),3,4)))</f>
        <v>4</v>
      </c>
      <c r="U110" s="25">
        <f>IF(Data!U110&lt;=QUARTILE(Data!U$4:U$195,1),1,IF(Data!U110&lt;=MEDIAN(Data!U$4:U$195),2,IF(Data!U110&lt;=QUARTILE(Data!U$4:U$195,3),3,4)))</f>
        <v>1</v>
      </c>
      <c r="V110" s="28">
        <f>IF(Data!V110&lt;=QUARTILE(Data!V$4:V$195,1),1,IF(Data!V110&lt;=MEDIAN(Data!V$4:V$195),2,IF(Data!V110&lt;=QUARTILE(Data!V$4:V$195,3),3,4)))</f>
        <v>1</v>
      </c>
      <c r="W110" s="28">
        <f>IF(Data!W110&lt;=QUARTILE(Data!W$4:W$195,1),1,IF(Data!W110&lt;=MEDIAN(Data!W$4:W$195),2,IF(Data!W110&lt;=QUARTILE(Data!W$4:W$195,3),3,4)))</f>
        <v>1</v>
      </c>
      <c r="X110" s="22">
        <f>IF(Data!X110&lt;=QUARTILE(Data!X$4:X$195,1),1,IF(Data!X110&lt;=MEDIAN(Data!X$4:X$195),2,IF(Data!X110&lt;=QUARTILE(Data!X$4:X$195,3),3,4)))</f>
        <v>1</v>
      </c>
      <c r="Y110" s="28">
        <f>IF(Data!Y110&lt;=QUARTILE(Data!Y$4:Y$195,1),1,IF(Data!Y110&lt;=MEDIAN(Data!Y$4:Y$195),2,IF(Data!Y110&lt;=QUARTILE(Data!Y$4:Y$195,3),3,4)))</f>
        <v>4</v>
      </c>
      <c r="Z110" s="22">
        <f>IF(Data!Z110&lt;=QUARTILE(Data!Z$4:Z$195,1),1,IF(Data!Z110&lt;=MEDIAN(Data!Z$4:Z$195),2,IF(Data!Z110&lt;=QUARTILE(Data!Z$4:Z$195,3),3,4)))</f>
        <v>4</v>
      </c>
      <c r="AA110" s="25">
        <f>IF(Data!AA110&lt;=QUARTILE(Data!AA$4:AA$195,1),1,IF(Data!AA110&lt;=MEDIAN(Data!AA$4:AA$195),2,IF(Data!AA110&lt;=QUARTILE(Data!AA$4:AA$195,3),3,4)))</f>
        <v>2</v>
      </c>
      <c r="AB110" s="22">
        <f>IF(Data!AB110&lt;=QUARTILE(Data!AB$4:AB$195,1),1,IF(Data!AB110&lt;=MEDIAN(Data!AB$4:AB$195),2,IF(Data!AB110&lt;=QUARTILE(Data!AB$4:AB$195,3),3,4)))</f>
        <v>4</v>
      </c>
      <c r="AC110" s="25">
        <f>IF(Data!AC110&lt;=QUARTILE(Data!AC$4:AC$195,1),1,IF(Data!AC110&lt;=MEDIAN(Data!AC$4:AC$195),2,IF(Data!AC110&lt;=QUARTILE(Data!AC$4:AC$195,3),3,4)))</f>
        <v>4</v>
      </c>
      <c r="AD110" s="22">
        <f>IF(Data!AD110&lt;=QUARTILE(Data!AD$4:AD$195,1),1,IF(Data!AD110&lt;=MEDIAN(Data!AD$4:AD$195),2,IF(Data!AD110&lt;=QUARTILE(Data!AD$4:AD$195,3),3,4)))</f>
        <v>4</v>
      </c>
      <c r="AE110" s="28">
        <f>IF(Data!AE110&lt;=QUARTILE(Data!AE$4:AE$195,1),1,IF(Data!AE110&lt;=MEDIAN(Data!AE$4:AE$195),2,IF(Data!AE110&lt;=QUARTILE(Data!AE$4:AE$195,3),3,4)))</f>
        <v>3</v>
      </c>
      <c r="AF110" s="28">
        <f>IF(Data!AF110&lt;=QUARTILE(Data!AF$4:AF$195,1),1,IF(Data!AF110&lt;=MEDIAN(Data!AF$4:AF$195),2,IF(Data!AF110&lt;=QUARTILE(Data!AF$4:AF$195,3),3,4)))</f>
        <v>3</v>
      </c>
      <c r="AG110" s="28">
        <f>IF(Data!AG110&lt;=QUARTILE(Data!AG$4:AG$195,1),1,IF(Data!AG110&lt;=MEDIAN(Data!AG$4:AG$195),2,IF(Data!AG110&lt;=QUARTILE(Data!AG$4:AG$195,3),3,4)))</f>
        <v>3</v>
      </c>
      <c r="AH110" s="22">
        <f>IF(Data!AH110&lt;=QUARTILE(Data!AH$4:AH$195,1),1,IF(Data!AH110&lt;=MEDIAN(Data!AH$4:AH$195),2,IF(Data!AH110&lt;=QUARTILE(Data!AH$4:AH$195,3),3,4)))</f>
        <v>3</v>
      </c>
      <c r="AI110" s="25">
        <f>IF(Data!AI110&lt;=QUARTILE(Data!AI$4:AI$195,1),1,IF(Data!AI110&lt;=MEDIAN(Data!AI$4:AI$195),2,IF(Data!AI110&lt;=QUARTILE(Data!AI$4:AI$195,3),3,4)))</f>
        <v>1</v>
      </c>
      <c r="AJ110" s="22">
        <f>IF(Data!AJ110&lt;=QUARTILE(Data!AJ$4:AJ$195,1),1,IF(Data!AJ110&lt;=MEDIAN(Data!AJ$4:AJ$195),2,IF(Data!AJ110&lt;=QUARTILE(Data!AJ$4:AJ$195,3),3,4)))</f>
        <v>2</v>
      </c>
      <c r="AK110" s="25">
        <f>IF(Data!AK110&lt;=QUARTILE(Data!AK$4:AK$195,1),1,IF(Data!AK110&lt;=MEDIAN(Data!AK$4:AK$195),2,IF(Data!AK110&lt;=QUARTILE(Data!AK$4:AK$195,3),3,4)))</f>
        <v>4</v>
      </c>
      <c r="AL110" s="28">
        <f>IF(Data!AL110&lt;=QUARTILE(Data!AL$4:AL$195,1),1,IF(Data!AL110&lt;=MEDIAN(Data!AL$4:AL$195),2,IF(Data!AL110&lt;=QUARTILE(Data!AL$4:AL$195,3),3,4)))</f>
        <v>4</v>
      </c>
      <c r="AM110" s="28">
        <f>IF(Data!AM110&lt;=QUARTILE(Data!AM$4:AM$195,1),1,IF(Data!AM110&lt;=MEDIAN(Data!AM$4:AM$195),2,IF(Data!AM110&lt;=QUARTILE(Data!AM$4:AM$195,3),3,4)))</f>
        <v>4</v>
      </c>
      <c r="AN110" s="22">
        <f>IF(Data!AN110&lt;=QUARTILE(Data!AN$4:AN$195,1),1,IF(Data!AN110&lt;=MEDIAN(Data!AN$4:AN$195),2,IF(Data!AN110&lt;=QUARTILE(Data!AN$4:AN$195,3),3,4)))</f>
        <v>4</v>
      </c>
      <c r="AO110" s="28">
        <f>IF(Data!AO110&lt;=QUARTILE(Data!AO$4:AO$195,1),1,IF(Data!AO110&lt;=MEDIAN(Data!AO$4:AO$195),2,IF(Data!AO110&lt;=QUARTILE(Data!AO$4:AO$195,3),3,4)))</f>
        <v>4</v>
      </c>
      <c r="AP110" s="28">
        <f>IF(Data!AP110&lt;=QUARTILE(Data!AP$4:AP$195,1),1,IF(Data!AP110&lt;=MEDIAN(Data!AP$4:AP$195),2,IF(Data!AP110&lt;=QUARTILE(Data!AP$4:AP$195,3),3,4)))</f>
        <v>2</v>
      </c>
      <c r="AQ110" s="28">
        <f>IF(Data!AQ110&lt;=QUARTILE(Data!AQ$4:AQ$195,1),1,IF(Data!AQ110&lt;=MEDIAN(Data!AQ$4:AQ$195),2,IF(Data!AQ110&lt;=QUARTILE(Data!AQ$4:AQ$195,3),3,4)))</f>
        <v>3</v>
      </c>
      <c r="AR110" s="28">
        <f>IF(Data!AR110&lt;=QUARTILE(Data!AR$4:AR$195,1),1,IF(Data!AR110&lt;=MEDIAN(Data!AR$4:AR$195),2,IF(Data!AR110&lt;=QUARTILE(Data!AR$4:AR$195,3),3,4)))</f>
        <v>3</v>
      </c>
      <c r="AS110" s="28">
        <f>IF(Data!AS110&lt;=QUARTILE(Data!AS$4:AS$195,1),1,IF(Data!AS110&lt;=MEDIAN(Data!AS$4:AS$195),2,IF(Data!AS110&lt;=QUARTILE(Data!AS$4:AS$195,3),3,4)))</f>
        <v>3</v>
      </c>
      <c r="AT110" s="28">
        <f>IF(Data!AT110&lt;=QUARTILE(Data!AT$4:AT$195,1),1,IF(Data!AT110&lt;=MEDIAN(Data!AT$4:AT$195),2,IF(Data!AT110&lt;=QUARTILE(Data!AT$4:AT$195,3),3,4)))</f>
        <v>1</v>
      </c>
      <c r="AU110" s="22">
        <f>IF(Data!AU110&lt;=QUARTILE(Data!AU$4:AU$195,1),1,IF(Data!AU110&lt;=MEDIAN(Data!AU$4:AU$195),2,IF(Data!AU110&lt;=QUARTILE(Data!AU$4:AU$195,3),3,4)))</f>
        <v>2</v>
      </c>
      <c r="AV110" s="25">
        <f>IF(Data!AV110&lt;=QUARTILE(Data!AV$4:AV$195,1),1,IF(Data!AV110&lt;=MEDIAN(Data!AV$4:AV$195),2,IF(Data!AV110&lt;=QUARTILE(Data!AV$4:AV$195,3),3,4)))</f>
        <v>4</v>
      </c>
      <c r="AW110" s="28">
        <f>IF(Data!AW110&lt;=QUARTILE(Data!AW$4:AW$195,1),1,IF(Data!AW110&lt;=MEDIAN(Data!AW$4:AW$195),2,IF(Data!AW110&lt;=QUARTILE(Data!AW$4:AW$195,3),3,4)))</f>
        <v>3</v>
      </c>
      <c r="AX110" s="28">
        <f>IF(Data!AX110&lt;=QUARTILE(Data!AX$4:AX$195,1),1,IF(Data!AX110&lt;=MEDIAN(Data!AX$4:AX$195),2,IF(Data!AX110&lt;=QUARTILE(Data!AX$4:AX$195,3),3,4)))</f>
        <v>4</v>
      </c>
      <c r="AY110" s="22">
        <f>IF(Data!AY110&lt;=QUARTILE(Data!AY$4:AY$195,1),1,IF(Data!AY110&lt;=MEDIAN(Data!AY$4:AY$195),2,IF(Data!AY110&lt;=QUARTILE(Data!AY$4:AY$195,3),3,4)))</f>
        <v>3</v>
      </c>
      <c r="AZ110" s="25">
        <f>IF(Data!AZ110&lt;=QUARTILE(Data!AZ$4:AZ$195,1),1,IF(Data!AZ110&lt;=MEDIAN(Data!AZ$4:AZ$195),2,IF(Data!AZ110&lt;=QUARTILE(Data!AZ$4:AZ$195,3),3,4)))</f>
        <v>1</v>
      </c>
      <c r="BA110" s="22">
        <f>IF(Data!BA110&lt;=QUARTILE(Data!BA$4:BA$195,1),1,IF(Data!BA110&lt;=MEDIAN(Data!BA$4:BA$195),2,IF(Data!BA110&lt;=QUARTILE(Data!BA$4:BA$195,3),3,4)))</f>
        <v>4</v>
      </c>
    </row>
    <row r="111" spans="1:53" x14ac:dyDescent="0.25">
      <c r="A111" s="4" t="s">
        <v>24</v>
      </c>
      <c r="B111" s="40">
        <v>2006</v>
      </c>
      <c r="C111" s="25">
        <v>8</v>
      </c>
      <c r="D111" s="28">
        <v>8</v>
      </c>
      <c r="E111" s="77" t="s">
        <v>96</v>
      </c>
      <c r="F111" s="28">
        <v>-4.4000000000000004</v>
      </c>
      <c r="G111" s="28">
        <v>-2.2999999999999998</v>
      </c>
      <c r="H111" s="22">
        <v>-2.1</v>
      </c>
      <c r="I111" s="25">
        <f>IF(Data!I111&lt;=QUARTILE(Data!I$4:I$195,1),1,IF(Data!I111&lt;=MEDIAN(Data!I$4:I$195),2,IF(Data!I111&lt;=QUARTILE(Data!I$4:I$195,3),3,4)))</f>
        <v>2</v>
      </c>
      <c r="J111" s="28">
        <f>IF(Data!J111&lt;=QUARTILE(Data!J$4:J$195,1),1,IF(Data!J111&lt;=MEDIAN(Data!J$4:J$195),2,IF(Data!J111&lt;=QUARTILE(Data!J$4:J$195,3),3,4)))</f>
        <v>3</v>
      </c>
      <c r="K111" s="28">
        <f>IF(Data!K111&lt;=QUARTILE(Data!K$4:K$195,1),1,IF(Data!K111&lt;=MEDIAN(Data!K$4:K$195),2,IF(Data!K111&lt;=QUARTILE(Data!K$4:K$195,3),3,4)))</f>
        <v>4</v>
      </c>
      <c r="L111" s="22">
        <f>IF(Data!L111&lt;=QUARTILE(Data!L$4:L$195,1),1,IF(Data!L111&lt;=MEDIAN(Data!L$4:L$195),2,IF(Data!L111&lt;=QUARTILE(Data!L$4:L$195,3),3,4)))</f>
        <v>3</v>
      </c>
      <c r="M111" s="28">
        <f>IF(Data!M111&lt;=QUARTILE(Data!M$4:M$195,1),1,IF(Data!M111&lt;=MEDIAN(Data!M$4:M$195),2,IF(Data!M111&lt;=QUARTILE(Data!M$4:M$195,3),3,4)))</f>
        <v>4</v>
      </c>
      <c r="N111" s="28">
        <f>IF(Data!N111&lt;=QUARTILE(Data!N$4:N$195,1),1,IF(Data!N111&lt;=MEDIAN(Data!N$4:N$195),2,IF(Data!N111&lt;=QUARTILE(Data!N$4:N$195,3),3,4)))</f>
        <v>4</v>
      </c>
      <c r="O111" s="28">
        <f>IF(Data!O111&lt;=QUARTILE(Data!O$4:O$195,1),1,IF(Data!O111&lt;=MEDIAN(Data!O$4:O$195),2,IF(Data!O111&lt;=QUARTILE(Data!O$4:O$195,3),3,4)))</f>
        <v>3</v>
      </c>
      <c r="P111" s="28">
        <f>IF(Data!P111&lt;=QUARTILE(Data!P$4:P$195,1),1,IF(Data!P111&lt;=MEDIAN(Data!P$4:P$195),2,IF(Data!P111&lt;=QUARTILE(Data!P$4:P$195,3),3,4)))</f>
        <v>2</v>
      </c>
      <c r="Q111" s="28">
        <f>IF(Data!Q111&lt;=QUARTILE(Data!Q$4:Q$195,1),1,IF(Data!Q111&lt;=MEDIAN(Data!Q$4:Q$195),2,IF(Data!Q111&lt;=QUARTILE(Data!Q$4:Q$195,3),3,4)))</f>
        <v>3</v>
      </c>
      <c r="R111" s="28">
        <f>IF(Data!R111&lt;=QUARTILE(Data!R$4:R$195,1),1,IF(Data!R111&lt;=MEDIAN(Data!R$4:R$195),2,IF(Data!R111&lt;=QUARTILE(Data!R$4:R$195,3),3,4)))</f>
        <v>1</v>
      </c>
      <c r="S111" s="28">
        <f>IF(Data!S111&lt;=QUARTILE(Data!S$4:S$195,1),1,IF(Data!S111&lt;=MEDIAN(Data!S$4:S$195),2,IF(Data!S111&lt;=QUARTILE(Data!S$4:S$195,3),3,4)))</f>
        <v>1</v>
      </c>
      <c r="T111" s="22">
        <f>IF(Data!T111&lt;=QUARTILE(Data!T$4:T$195,1),1,IF(Data!T111&lt;=MEDIAN(Data!T$4:T$195),2,IF(Data!T111&lt;=QUARTILE(Data!T$4:T$195,3),3,4)))</f>
        <v>1</v>
      </c>
      <c r="U111" s="25">
        <f>IF(Data!U111&lt;=QUARTILE(Data!U$4:U$195,1),1,IF(Data!U111&lt;=MEDIAN(Data!U$4:U$195),2,IF(Data!U111&lt;=QUARTILE(Data!U$4:U$195,3),3,4)))</f>
        <v>2</v>
      </c>
      <c r="V111" s="28">
        <f>IF(Data!V111&lt;=QUARTILE(Data!V$4:V$195,1),1,IF(Data!V111&lt;=MEDIAN(Data!V$4:V$195),2,IF(Data!V111&lt;=QUARTILE(Data!V$4:V$195,3),3,4)))</f>
        <v>2</v>
      </c>
      <c r="W111" s="28">
        <f>IF(Data!W111&lt;=QUARTILE(Data!W$4:W$195,1),1,IF(Data!W111&lt;=MEDIAN(Data!W$4:W$195),2,IF(Data!W111&lt;=QUARTILE(Data!W$4:W$195,3),3,4)))</f>
        <v>1</v>
      </c>
      <c r="X111" s="22">
        <f>IF(Data!X111&lt;=QUARTILE(Data!X$4:X$195,1),1,IF(Data!X111&lt;=MEDIAN(Data!X$4:X$195),2,IF(Data!X111&lt;=QUARTILE(Data!X$4:X$195,3),3,4)))</f>
        <v>2</v>
      </c>
      <c r="Y111" s="28">
        <f>IF(Data!Y111&lt;=QUARTILE(Data!Y$4:Y$195,1),1,IF(Data!Y111&lt;=MEDIAN(Data!Y$4:Y$195),2,IF(Data!Y111&lt;=QUARTILE(Data!Y$4:Y$195,3),3,4)))</f>
        <v>3</v>
      </c>
      <c r="Z111" s="22">
        <f>IF(Data!Z111&lt;=QUARTILE(Data!Z$4:Z$195,1),1,IF(Data!Z111&lt;=MEDIAN(Data!Z$4:Z$195),2,IF(Data!Z111&lt;=QUARTILE(Data!Z$4:Z$195,3),3,4)))</f>
        <v>3</v>
      </c>
      <c r="AA111" s="25">
        <f>IF(Data!AA111&lt;=QUARTILE(Data!AA$4:AA$195,1),1,IF(Data!AA111&lt;=MEDIAN(Data!AA$4:AA$195),2,IF(Data!AA111&lt;=QUARTILE(Data!AA$4:AA$195,3),3,4)))</f>
        <v>4</v>
      </c>
      <c r="AB111" s="22">
        <f>IF(Data!AB111&lt;=QUARTILE(Data!AB$4:AB$195,1),1,IF(Data!AB111&lt;=MEDIAN(Data!AB$4:AB$195),2,IF(Data!AB111&lt;=QUARTILE(Data!AB$4:AB$195,3),3,4)))</f>
        <v>4</v>
      </c>
      <c r="AC111" s="25">
        <f>IF(Data!AC111&lt;=QUARTILE(Data!AC$4:AC$195,1),1,IF(Data!AC111&lt;=MEDIAN(Data!AC$4:AC$195),2,IF(Data!AC111&lt;=QUARTILE(Data!AC$4:AC$195,3),3,4)))</f>
        <v>3</v>
      </c>
      <c r="AD111" s="22">
        <f>IF(Data!AD111&lt;=QUARTILE(Data!AD$4:AD$195,1),1,IF(Data!AD111&lt;=MEDIAN(Data!AD$4:AD$195),2,IF(Data!AD111&lt;=QUARTILE(Data!AD$4:AD$195,3),3,4)))</f>
        <v>2</v>
      </c>
      <c r="AE111" s="28">
        <f>IF(Data!AE111&lt;=QUARTILE(Data!AE$4:AE$195,1),1,IF(Data!AE111&lt;=MEDIAN(Data!AE$4:AE$195),2,IF(Data!AE111&lt;=QUARTILE(Data!AE$4:AE$195,3),3,4)))</f>
        <v>4</v>
      </c>
      <c r="AF111" s="28">
        <f>IF(Data!AF111&lt;=QUARTILE(Data!AF$4:AF$195,1),1,IF(Data!AF111&lt;=MEDIAN(Data!AF$4:AF$195),2,IF(Data!AF111&lt;=QUARTILE(Data!AF$4:AF$195,3),3,4)))</f>
        <v>3</v>
      </c>
      <c r="AG111" s="28">
        <f>IF(Data!AG111&lt;=QUARTILE(Data!AG$4:AG$195,1),1,IF(Data!AG111&lt;=MEDIAN(Data!AG$4:AG$195),2,IF(Data!AG111&lt;=QUARTILE(Data!AG$4:AG$195,3),3,4)))</f>
        <v>3</v>
      </c>
      <c r="AH111" s="22">
        <f>IF(Data!AH111&lt;=QUARTILE(Data!AH$4:AH$195,1),1,IF(Data!AH111&lt;=MEDIAN(Data!AH$4:AH$195),2,IF(Data!AH111&lt;=QUARTILE(Data!AH$4:AH$195,3),3,4)))</f>
        <v>3</v>
      </c>
      <c r="AI111" s="25">
        <f>IF(Data!AI111&lt;=QUARTILE(Data!AI$4:AI$195,1),1,IF(Data!AI111&lt;=MEDIAN(Data!AI$4:AI$195),2,IF(Data!AI111&lt;=QUARTILE(Data!AI$4:AI$195,3),3,4)))</f>
        <v>3</v>
      </c>
      <c r="AJ111" s="22">
        <f>IF(Data!AJ111&lt;=QUARTILE(Data!AJ$4:AJ$195,1),1,IF(Data!AJ111&lt;=MEDIAN(Data!AJ$4:AJ$195),2,IF(Data!AJ111&lt;=QUARTILE(Data!AJ$4:AJ$195,3),3,4)))</f>
        <v>4</v>
      </c>
      <c r="AK111" s="25">
        <f>IF(Data!AK111&lt;=QUARTILE(Data!AK$4:AK$195,1),1,IF(Data!AK111&lt;=MEDIAN(Data!AK$4:AK$195),2,IF(Data!AK111&lt;=QUARTILE(Data!AK$4:AK$195,3),3,4)))</f>
        <v>3</v>
      </c>
      <c r="AL111" s="28">
        <f>IF(Data!AL111&lt;=QUARTILE(Data!AL$4:AL$195,1),1,IF(Data!AL111&lt;=MEDIAN(Data!AL$4:AL$195),2,IF(Data!AL111&lt;=QUARTILE(Data!AL$4:AL$195,3),3,4)))</f>
        <v>2</v>
      </c>
      <c r="AM111" s="28">
        <f>IF(Data!AM111&lt;=QUARTILE(Data!AM$4:AM$195,1),1,IF(Data!AM111&lt;=MEDIAN(Data!AM$4:AM$195),2,IF(Data!AM111&lt;=QUARTILE(Data!AM$4:AM$195,3),3,4)))</f>
        <v>3</v>
      </c>
      <c r="AN111" s="22">
        <f>IF(Data!AN111&lt;=QUARTILE(Data!AN$4:AN$195,1),1,IF(Data!AN111&lt;=MEDIAN(Data!AN$4:AN$195),2,IF(Data!AN111&lt;=QUARTILE(Data!AN$4:AN$195,3),3,4)))</f>
        <v>2</v>
      </c>
      <c r="AO111" s="28">
        <f>IF(Data!AO111&lt;=QUARTILE(Data!AO$4:AO$195,1),1,IF(Data!AO111&lt;=MEDIAN(Data!AO$4:AO$195),2,IF(Data!AO111&lt;=QUARTILE(Data!AO$4:AO$195,3),3,4)))</f>
        <v>1</v>
      </c>
      <c r="AP111" s="28">
        <f>IF(Data!AP111&lt;=QUARTILE(Data!AP$4:AP$195,1),1,IF(Data!AP111&lt;=MEDIAN(Data!AP$4:AP$195),2,IF(Data!AP111&lt;=QUARTILE(Data!AP$4:AP$195,3),3,4)))</f>
        <v>2</v>
      </c>
      <c r="AQ111" s="28">
        <f>IF(Data!AQ111&lt;=QUARTILE(Data!AQ$4:AQ$195,1),1,IF(Data!AQ111&lt;=MEDIAN(Data!AQ$4:AQ$195),2,IF(Data!AQ111&lt;=QUARTILE(Data!AQ$4:AQ$195,3),3,4)))</f>
        <v>2</v>
      </c>
      <c r="AR111" s="28">
        <f>IF(Data!AR111&lt;=QUARTILE(Data!AR$4:AR$195,1),1,IF(Data!AR111&lt;=MEDIAN(Data!AR$4:AR$195),2,IF(Data!AR111&lt;=QUARTILE(Data!AR$4:AR$195,3),3,4)))</f>
        <v>3</v>
      </c>
      <c r="AS111" s="28">
        <f>IF(Data!AS111&lt;=QUARTILE(Data!AS$4:AS$195,1),1,IF(Data!AS111&lt;=MEDIAN(Data!AS$4:AS$195),2,IF(Data!AS111&lt;=QUARTILE(Data!AS$4:AS$195,3),3,4)))</f>
        <v>2</v>
      </c>
      <c r="AT111" s="28">
        <f>IF(Data!AT111&lt;=QUARTILE(Data!AT$4:AT$195,1),1,IF(Data!AT111&lt;=MEDIAN(Data!AT$4:AT$195),2,IF(Data!AT111&lt;=QUARTILE(Data!AT$4:AT$195,3),3,4)))</f>
        <v>4</v>
      </c>
      <c r="AU111" s="22">
        <f>IF(Data!AU111&lt;=QUARTILE(Data!AU$4:AU$195,1),1,IF(Data!AU111&lt;=MEDIAN(Data!AU$4:AU$195),2,IF(Data!AU111&lt;=QUARTILE(Data!AU$4:AU$195,3),3,4)))</f>
        <v>4</v>
      </c>
      <c r="AV111" s="25">
        <f>IF(Data!AV111&lt;=QUARTILE(Data!AV$4:AV$195,1),1,IF(Data!AV111&lt;=MEDIAN(Data!AV$4:AV$195),2,IF(Data!AV111&lt;=QUARTILE(Data!AV$4:AV$195,3),3,4)))</f>
        <v>2</v>
      </c>
      <c r="AW111" s="28">
        <f>IF(Data!AW111&lt;=QUARTILE(Data!AW$4:AW$195,1),1,IF(Data!AW111&lt;=MEDIAN(Data!AW$4:AW$195),2,IF(Data!AW111&lt;=QUARTILE(Data!AW$4:AW$195,3),3,4)))</f>
        <v>2</v>
      </c>
      <c r="AX111" s="28">
        <f>IF(Data!AX111&lt;=QUARTILE(Data!AX$4:AX$195,1),1,IF(Data!AX111&lt;=MEDIAN(Data!AX$4:AX$195),2,IF(Data!AX111&lt;=QUARTILE(Data!AX$4:AX$195,3),3,4)))</f>
        <v>2</v>
      </c>
      <c r="AY111" s="22">
        <f>IF(Data!AY111&lt;=QUARTILE(Data!AY$4:AY$195,1),1,IF(Data!AY111&lt;=MEDIAN(Data!AY$4:AY$195),2,IF(Data!AY111&lt;=QUARTILE(Data!AY$4:AY$195,3),3,4)))</f>
        <v>2</v>
      </c>
      <c r="AZ111" s="25">
        <f>IF(Data!AZ111&lt;=QUARTILE(Data!AZ$4:AZ$195,1),1,IF(Data!AZ111&lt;=MEDIAN(Data!AZ$4:AZ$195),2,IF(Data!AZ111&lt;=QUARTILE(Data!AZ$4:AZ$195,3),3,4)))</f>
        <v>4</v>
      </c>
      <c r="BA111" s="22">
        <f>IF(Data!BA111&lt;=QUARTILE(Data!BA$4:BA$195,1),1,IF(Data!BA111&lt;=MEDIAN(Data!BA$4:BA$195),2,IF(Data!BA111&lt;=QUARTILE(Data!BA$4:BA$195,3),3,4)))</f>
        <v>2</v>
      </c>
    </row>
    <row r="112" spans="1:53" x14ac:dyDescent="0.25">
      <c r="A112" s="4" t="s">
        <v>12</v>
      </c>
      <c r="B112" s="40">
        <v>2006</v>
      </c>
      <c r="C112" s="25">
        <v>6</v>
      </c>
      <c r="D112" s="28">
        <v>10</v>
      </c>
      <c r="E112" s="77" t="s">
        <v>96</v>
      </c>
      <c r="F112" s="28">
        <v>-4.5</v>
      </c>
      <c r="G112" s="28">
        <v>-3.2</v>
      </c>
      <c r="H112" s="22">
        <v>-1.3</v>
      </c>
      <c r="I112" s="25">
        <f>IF(Data!I112&lt;=QUARTILE(Data!I$4:I$195,1),1,IF(Data!I112&lt;=MEDIAN(Data!I$4:I$195),2,IF(Data!I112&lt;=QUARTILE(Data!I$4:I$195,3),3,4)))</f>
        <v>1</v>
      </c>
      <c r="J112" s="28">
        <f>IF(Data!J112&lt;=QUARTILE(Data!J$4:J$195,1),1,IF(Data!J112&lt;=MEDIAN(Data!J$4:J$195),2,IF(Data!J112&lt;=QUARTILE(Data!J$4:J$195,3),3,4)))</f>
        <v>1</v>
      </c>
      <c r="K112" s="28">
        <f>IF(Data!K112&lt;=QUARTILE(Data!K$4:K$195,1),1,IF(Data!K112&lt;=MEDIAN(Data!K$4:K$195),2,IF(Data!K112&lt;=QUARTILE(Data!K$4:K$195,3),3,4)))</f>
        <v>1</v>
      </c>
      <c r="L112" s="22">
        <f>IF(Data!L112&lt;=QUARTILE(Data!L$4:L$195,1),1,IF(Data!L112&lt;=MEDIAN(Data!L$4:L$195),2,IF(Data!L112&lt;=QUARTILE(Data!L$4:L$195,3),3,4)))</f>
        <v>2</v>
      </c>
      <c r="M112" s="28">
        <f>IF(Data!M112&lt;=QUARTILE(Data!M$4:M$195,1),1,IF(Data!M112&lt;=MEDIAN(Data!M$4:M$195),2,IF(Data!M112&lt;=QUARTILE(Data!M$4:M$195,3),3,4)))</f>
        <v>3</v>
      </c>
      <c r="N112" s="28">
        <f>IF(Data!N112&lt;=QUARTILE(Data!N$4:N$195,1),1,IF(Data!N112&lt;=MEDIAN(Data!N$4:N$195),2,IF(Data!N112&lt;=QUARTILE(Data!N$4:N$195,3),3,4)))</f>
        <v>2</v>
      </c>
      <c r="O112" s="28">
        <f>IF(Data!O112&lt;=QUARTILE(Data!O$4:O$195,1),1,IF(Data!O112&lt;=MEDIAN(Data!O$4:O$195),2,IF(Data!O112&lt;=QUARTILE(Data!O$4:O$195,3),3,4)))</f>
        <v>1</v>
      </c>
      <c r="P112" s="28">
        <f>IF(Data!P112&lt;=QUARTILE(Data!P$4:P$195,1),1,IF(Data!P112&lt;=MEDIAN(Data!P$4:P$195),2,IF(Data!P112&lt;=QUARTILE(Data!P$4:P$195,3),3,4)))</f>
        <v>1</v>
      </c>
      <c r="Q112" s="28">
        <f>IF(Data!Q112&lt;=QUARTILE(Data!Q$4:Q$195,1),1,IF(Data!Q112&lt;=MEDIAN(Data!Q$4:Q$195),2,IF(Data!Q112&lt;=QUARTILE(Data!Q$4:Q$195,3),3,4)))</f>
        <v>2</v>
      </c>
      <c r="R112" s="28">
        <f>IF(Data!R112&lt;=QUARTILE(Data!R$4:R$195,1),1,IF(Data!R112&lt;=MEDIAN(Data!R$4:R$195),2,IF(Data!R112&lt;=QUARTILE(Data!R$4:R$195,3),3,4)))</f>
        <v>3</v>
      </c>
      <c r="S112" s="28">
        <f>IF(Data!S112&lt;=QUARTILE(Data!S$4:S$195,1),1,IF(Data!S112&lt;=MEDIAN(Data!S$4:S$195),2,IF(Data!S112&lt;=QUARTILE(Data!S$4:S$195,3),3,4)))</f>
        <v>3</v>
      </c>
      <c r="T112" s="22">
        <f>IF(Data!T112&lt;=QUARTILE(Data!T$4:T$195,1),1,IF(Data!T112&lt;=MEDIAN(Data!T$4:T$195),2,IF(Data!T112&lt;=QUARTILE(Data!T$4:T$195,3),3,4)))</f>
        <v>3</v>
      </c>
      <c r="U112" s="25">
        <f>IF(Data!U112&lt;=QUARTILE(Data!U$4:U$195,1),1,IF(Data!U112&lt;=MEDIAN(Data!U$4:U$195),2,IF(Data!U112&lt;=QUARTILE(Data!U$4:U$195,3),3,4)))</f>
        <v>2</v>
      </c>
      <c r="V112" s="28">
        <f>IF(Data!V112&lt;=QUARTILE(Data!V$4:V$195,1),1,IF(Data!V112&lt;=MEDIAN(Data!V$4:V$195),2,IF(Data!V112&lt;=QUARTILE(Data!V$4:V$195,3),3,4)))</f>
        <v>2</v>
      </c>
      <c r="W112" s="28">
        <f>IF(Data!W112&lt;=QUARTILE(Data!W$4:W$195,1),1,IF(Data!W112&lt;=MEDIAN(Data!W$4:W$195),2,IF(Data!W112&lt;=QUARTILE(Data!W$4:W$195,3),3,4)))</f>
        <v>2</v>
      </c>
      <c r="X112" s="22">
        <f>IF(Data!X112&lt;=QUARTILE(Data!X$4:X$195,1),1,IF(Data!X112&lt;=MEDIAN(Data!X$4:X$195),2,IF(Data!X112&lt;=QUARTILE(Data!X$4:X$195,3),3,4)))</f>
        <v>3</v>
      </c>
      <c r="Y112" s="28">
        <f>IF(Data!Y112&lt;=QUARTILE(Data!Y$4:Y$195,1),1,IF(Data!Y112&lt;=MEDIAN(Data!Y$4:Y$195),2,IF(Data!Y112&lt;=QUARTILE(Data!Y$4:Y$195,3),3,4)))</f>
        <v>1</v>
      </c>
      <c r="Z112" s="22">
        <f>IF(Data!Z112&lt;=QUARTILE(Data!Z$4:Z$195,1),1,IF(Data!Z112&lt;=MEDIAN(Data!Z$4:Z$195),2,IF(Data!Z112&lt;=QUARTILE(Data!Z$4:Z$195,3),3,4)))</f>
        <v>2</v>
      </c>
      <c r="AA112" s="25">
        <f>IF(Data!AA112&lt;=QUARTILE(Data!AA$4:AA$195,1),1,IF(Data!AA112&lt;=MEDIAN(Data!AA$4:AA$195),2,IF(Data!AA112&lt;=QUARTILE(Data!AA$4:AA$195,3),3,4)))</f>
        <v>1</v>
      </c>
      <c r="AB112" s="22">
        <f>IF(Data!AB112&lt;=QUARTILE(Data!AB$4:AB$195,1),1,IF(Data!AB112&lt;=MEDIAN(Data!AB$4:AB$195),2,IF(Data!AB112&lt;=QUARTILE(Data!AB$4:AB$195,3),3,4)))</f>
        <v>2</v>
      </c>
      <c r="AC112" s="25">
        <f>IF(Data!AC112&lt;=QUARTILE(Data!AC$4:AC$195,1),1,IF(Data!AC112&lt;=MEDIAN(Data!AC$4:AC$195),2,IF(Data!AC112&lt;=QUARTILE(Data!AC$4:AC$195,3),3,4)))</f>
        <v>3</v>
      </c>
      <c r="AD112" s="22">
        <f>IF(Data!AD112&lt;=QUARTILE(Data!AD$4:AD$195,1),1,IF(Data!AD112&lt;=MEDIAN(Data!AD$4:AD$195),2,IF(Data!AD112&lt;=QUARTILE(Data!AD$4:AD$195,3),3,4)))</f>
        <v>4</v>
      </c>
      <c r="AE112" s="28">
        <f>IF(Data!AE112&lt;=QUARTILE(Data!AE$4:AE$195,1),1,IF(Data!AE112&lt;=MEDIAN(Data!AE$4:AE$195),2,IF(Data!AE112&lt;=QUARTILE(Data!AE$4:AE$195,3),3,4)))</f>
        <v>1</v>
      </c>
      <c r="AF112" s="28">
        <f>IF(Data!AF112&lt;=QUARTILE(Data!AF$4:AF$195,1),1,IF(Data!AF112&lt;=MEDIAN(Data!AF$4:AF$195),2,IF(Data!AF112&lt;=QUARTILE(Data!AF$4:AF$195,3),3,4)))</f>
        <v>1</v>
      </c>
      <c r="AG112" s="28">
        <f>IF(Data!AG112&lt;=QUARTILE(Data!AG$4:AG$195,1),1,IF(Data!AG112&lt;=MEDIAN(Data!AG$4:AG$195),2,IF(Data!AG112&lt;=QUARTILE(Data!AG$4:AG$195,3),3,4)))</f>
        <v>4</v>
      </c>
      <c r="AH112" s="22">
        <f>IF(Data!AH112&lt;=QUARTILE(Data!AH$4:AH$195,1),1,IF(Data!AH112&lt;=MEDIAN(Data!AH$4:AH$195),2,IF(Data!AH112&lt;=QUARTILE(Data!AH$4:AH$195,3),3,4)))</f>
        <v>4</v>
      </c>
      <c r="AI112" s="25">
        <f>IF(Data!AI112&lt;=QUARTILE(Data!AI$4:AI$195,1),1,IF(Data!AI112&lt;=MEDIAN(Data!AI$4:AI$195),2,IF(Data!AI112&lt;=QUARTILE(Data!AI$4:AI$195,3),3,4)))</f>
        <v>2</v>
      </c>
      <c r="AJ112" s="22">
        <f>IF(Data!AJ112&lt;=QUARTILE(Data!AJ$4:AJ$195,1),1,IF(Data!AJ112&lt;=MEDIAN(Data!AJ$4:AJ$195),2,IF(Data!AJ112&lt;=QUARTILE(Data!AJ$4:AJ$195,3),3,4)))</f>
        <v>3</v>
      </c>
      <c r="AK112" s="25">
        <f>IF(Data!AK112&lt;=QUARTILE(Data!AK$4:AK$195,1),1,IF(Data!AK112&lt;=MEDIAN(Data!AK$4:AK$195),2,IF(Data!AK112&lt;=QUARTILE(Data!AK$4:AK$195,3),3,4)))</f>
        <v>3</v>
      </c>
      <c r="AL112" s="28">
        <f>IF(Data!AL112&lt;=QUARTILE(Data!AL$4:AL$195,1),1,IF(Data!AL112&lt;=MEDIAN(Data!AL$4:AL$195),2,IF(Data!AL112&lt;=QUARTILE(Data!AL$4:AL$195,3),3,4)))</f>
        <v>3</v>
      </c>
      <c r="AM112" s="28">
        <f>IF(Data!AM112&lt;=QUARTILE(Data!AM$4:AM$195,1),1,IF(Data!AM112&lt;=MEDIAN(Data!AM$4:AM$195),2,IF(Data!AM112&lt;=QUARTILE(Data!AM$4:AM$195,3),3,4)))</f>
        <v>2</v>
      </c>
      <c r="AN112" s="22">
        <f>IF(Data!AN112&lt;=QUARTILE(Data!AN$4:AN$195,1),1,IF(Data!AN112&lt;=MEDIAN(Data!AN$4:AN$195),2,IF(Data!AN112&lt;=QUARTILE(Data!AN$4:AN$195,3),3,4)))</f>
        <v>3</v>
      </c>
      <c r="AO112" s="28">
        <f>IF(Data!AO112&lt;=QUARTILE(Data!AO$4:AO$195,1),1,IF(Data!AO112&lt;=MEDIAN(Data!AO$4:AO$195),2,IF(Data!AO112&lt;=QUARTILE(Data!AO$4:AO$195,3),3,4)))</f>
        <v>3</v>
      </c>
      <c r="AP112" s="28">
        <f>IF(Data!AP112&lt;=QUARTILE(Data!AP$4:AP$195,1),1,IF(Data!AP112&lt;=MEDIAN(Data!AP$4:AP$195),2,IF(Data!AP112&lt;=QUARTILE(Data!AP$4:AP$195,3),3,4)))</f>
        <v>2</v>
      </c>
      <c r="AQ112" s="28">
        <f>IF(Data!AQ112&lt;=QUARTILE(Data!AQ$4:AQ$195,1),1,IF(Data!AQ112&lt;=MEDIAN(Data!AQ$4:AQ$195),2,IF(Data!AQ112&lt;=QUARTILE(Data!AQ$4:AQ$195,3),3,4)))</f>
        <v>3</v>
      </c>
      <c r="AR112" s="28">
        <f>IF(Data!AR112&lt;=QUARTILE(Data!AR$4:AR$195,1),1,IF(Data!AR112&lt;=MEDIAN(Data!AR$4:AR$195),2,IF(Data!AR112&lt;=QUARTILE(Data!AR$4:AR$195,3),3,4)))</f>
        <v>3</v>
      </c>
      <c r="AS112" s="28">
        <f>IF(Data!AS112&lt;=QUARTILE(Data!AS$4:AS$195,1),1,IF(Data!AS112&lt;=MEDIAN(Data!AS$4:AS$195),2,IF(Data!AS112&lt;=QUARTILE(Data!AS$4:AS$195,3),3,4)))</f>
        <v>2</v>
      </c>
      <c r="AT112" s="28">
        <f>IF(Data!AT112&lt;=QUARTILE(Data!AT$4:AT$195,1),1,IF(Data!AT112&lt;=MEDIAN(Data!AT$4:AT$195),2,IF(Data!AT112&lt;=QUARTILE(Data!AT$4:AT$195,3),3,4)))</f>
        <v>1</v>
      </c>
      <c r="AU112" s="22">
        <f>IF(Data!AU112&lt;=QUARTILE(Data!AU$4:AU$195,1),1,IF(Data!AU112&lt;=MEDIAN(Data!AU$4:AU$195),2,IF(Data!AU112&lt;=QUARTILE(Data!AU$4:AU$195,3),3,4)))</f>
        <v>2</v>
      </c>
      <c r="AV112" s="25">
        <f>IF(Data!AV112&lt;=QUARTILE(Data!AV$4:AV$195,1),1,IF(Data!AV112&lt;=MEDIAN(Data!AV$4:AV$195),2,IF(Data!AV112&lt;=QUARTILE(Data!AV$4:AV$195,3),3,4)))</f>
        <v>3</v>
      </c>
      <c r="AW112" s="28">
        <f>IF(Data!AW112&lt;=QUARTILE(Data!AW$4:AW$195,1),1,IF(Data!AW112&lt;=MEDIAN(Data!AW$4:AW$195),2,IF(Data!AW112&lt;=QUARTILE(Data!AW$4:AW$195,3),3,4)))</f>
        <v>3</v>
      </c>
      <c r="AX112" s="28">
        <f>IF(Data!AX112&lt;=QUARTILE(Data!AX$4:AX$195,1),1,IF(Data!AX112&lt;=MEDIAN(Data!AX$4:AX$195),2,IF(Data!AX112&lt;=QUARTILE(Data!AX$4:AX$195,3),3,4)))</f>
        <v>3</v>
      </c>
      <c r="AY112" s="22">
        <f>IF(Data!AY112&lt;=QUARTILE(Data!AY$4:AY$195,1),1,IF(Data!AY112&lt;=MEDIAN(Data!AY$4:AY$195),2,IF(Data!AY112&lt;=QUARTILE(Data!AY$4:AY$195,3),3,4)))</f>
        <v>4</v>
      </c>
      <c r="AZ112" s="25">
        <f>IF(Data!AZ112&lt;=QUARTILE(Data!AZ$4:AZ$195,1),1,IF(Data!AZ112&lt;=MEDIAN(Data!AZ$4:AZ$195),2,IF(Data!AZ112&lt;=QUARTILE(Data!AZ$4:AZ$195,3),3,4)))</f>
        <v>1</v>
      </c>
      <c r="BA112" s="22">
        <f>IF(Data!BA112&lt;=QUARTILE(Data!BA$4:BA$195,1),1,IF(Data!BA112&lt;=MEDIAN(Data!BA$4:BA$195),2,IF(Data!BA112&lt;=QUARTILE(Data!BA$4:BA$195,3),3,4)))</f>
        <v>2</v>
      </c>
    </row>
    <row r="113" spans="1:53" x14ac:dyDescent="0.25">
      <c r="A113" s="4" t="s">
        <v>11</v>
      </c>
      <c r="B113" s="40">
        <v>2006</v>
      </c>
      <c r="C113" s="25">
        <v>12</v>
      </c>
      <c r="D113" s="28">
        <v>4</v>
      </c>
      <c r="E113" s="77" t="s">
        <v>97</v>
      </c>
      <c r="F113" s="28">
        <v>5.9</v>
      </c>
      <c r="G113" s="28">
        <v>6.9</v>
      </c>
      <c r="H113" s="22">
        <v>-1.1000000000000001</v>
      </c>
      <c r="I113" s="25">
        <f>IF(Data!I113&lt;=QUARTILE(Data!I$4:I$195,1),1,IF(Data!I113&lt;=MEDIAN(Data!I$4:I$195),2,IF(Data!I113&lt;=QUARTILE(Data!I$4:I$195,3),3,4)))</f>
        <v>4</v>
      </c>
      <c r="J113" s="28">
        <f>IF(Data!J113&lt;=QUARTILE(Data!J$4:J$195,1),1,IF(Data!J113&lt;=MEDIAN(Data!J$4:J$195),2,IF(Data!J113&lt;=QUARTILE(Data!J$4:J$195,3),3,4)))</f>
        <v>4</v>
      </c>
      <c r="K113" s="28">
        <f>IF(Data!K113&lt;=QUARTILE(Data!K$4:K$195,1),1,IF(Data!K113&lt;=MEDIAN(Data!K$4:K$195),2,IF(Data!K113&lt;=QUARTILE(Data!K$4:K$195,3),3,4)))</f>
        <v>3</v>
      </c>
      <c r="L113" s="22">
        <f>IF(Data!L113&lt;=QUARTILE(Data!L$4:L$195,1),1,IF(Data!L113&lt;=MEDIAN(Data!L$4:L$195),2,IF(Data!L113&lt;=QUARTILE(Data!L$4:L$195,3),3,4)))</f>
        <v>4</v>
      </c>
      <c r="M113" s="28">
        <f>IF(Data!M113&lt;=QUARTILE(Data!M$4:M$195,1),1,IF(Data!M113&lt;=MEDIAN(Data!M$4:M$195),2,IF(Data!M113&lt;=QUARTILE(Data!M$4:M$195,3),3,4)))</f>
        <v>4</v>
      </c>
      <c r="N113" s="28">
        <f>IF(Data!N113&lt;=QUARTILE(Data!N$4:N$195,1),1,IF(Data!N113&lt;=MEDIAN(Data!N$4:N$195),2,IF(Data!N113&lt;=QUARTILE(Data!N$4:N$195,3),3,4)))</f>
        <v>3</v>
      </c>
      <c r="O113" s="28">
        <f>IF(Data!O113&lt;=QUARTILE(Data!O$4:O$195,1),1,IF(Data!O113&lt;=MEDIAN(Data!O$4:O$195),2,IF(Data!O113&lt;=QUARTILE(Data!O$4:O$195,3),3,4)))</f>
        <v>4</v>
      </c>
      <c r="P113" s="28">
        <f>IF(Data!P113&lt;=QUARTILE(Data!P$4:P$195,1),1,IF(Data!P113&lt;=MEDIAN(Data!P$4:P$195),2,IF(Data!P113&lt;=QUARTILE(Data!P$4:P$195,3),3,4)))</f>
        <v>4</v>
      </c>
      <c r="Q113" s="28">
        <f>IF(Data!Q113&lt;=QUARTILE(Data!Q$4:Q$195,1),1,IF(Data!Q113&lt;=MEDIAN(Data!Q$4:Q$195),2,IF(Data!Q113&lt;=QUARTILE(Data!Q$4:Q$195,3),3,4)))</f>
        <v>4</v>
      </c>
      <c r="R113" s="28">
        <f>IF(Data!R113&lt;=QUARTILE(Data!R$4:R$195,1),1,IF(Data!R113&lt;=MEDIAN(Data!R$4:R$195),2,IF(Data!R113&lt;=QUARTILE(Data!R$4:R$195,3),3,4)))</f>
        <v>4</v>
      </c>
      <c r="S113" s="28">
        <f>IF(Data!S113&lt;=QUARTILE(Data!S$4:S$195,1),1,IF(Data!S113&lt;=MEDIAN(Data!S$4:S$195),2,IF(Data!S113&lt;=QUARTILE(Data!S$4:S$195,3),3,4)))</f>
        <v>1</v>
      </c>
      <c r="T113" s="22">
        <f>IF(Data!T113&lt;=QUARTILE(Data!T$4:T$195,1),1,IF(Data!T113&lt;=MEDIAN(Data!T$4:T$195),2,IF(Data!T113&lt;=QUARTILE(Data!T$4:T$195,3),3,4)))</f>
        <v>1</v>
      </c>
      <c r="U113" s="25">
        <f>IF(Data!U113&lt;=QUARTILE(Data!U$4:U$195,1),1,IF(Data!U113&lt;=MEDIAN(Data!U$4:U$195),2,IF(Data!U113&lt;=QUARTILE(Data!U$4:U$195,3),3,4)))</f>
        <v>3</v>
      </c>
      <c r="V113" s="28">
        <f>IF(Data!V113&lt;=QUARTILE(Data!V$4:V$195,1),1,IF(Data!V113&lt;=MEDIAN(Data!V$4:V$195),2,IF(Data!V113&lt;=QUARTILE(Data!V$4:V$195,3),3,4)))</f>
        <v>2</v>
      </c>
      <c r="W113" s="28">
        <f>IF(Data!W113&lt;=QUARTILE(Data!W$4:W$195,1),1,IF(Data!W113&lt;=MEDIAN(Data!W$4:W$195),2,IF(Data!W113&lt;=QUARTILE(Data!W$4:W$195,3),3,4)))</f>
        <v>3</v>
      </c>
      <c r="X113" s="22">
        <f>IF(Data!X113&lt;=QUARTILE(Data!X$4:X$195,1),1,IF(Data!X113&lt;=MEDIAN(Data!X$4:X$195),2,IF(Data!X113&lt;=QUARTILE(Data!X$4:X$195,3),3,4)))</f>
        <v>4</v>
      </c>
      <c r="Y113" s="28">
        <f>IF(Data!Y113&lt;=QUARTILE(Data!Y$4:Y$195,1),1,IF(Data!Y113&lt;=MEDIAN(Data!Y$4:Y$195),2,IF(Data!Y113&lt;=QUARTILE(Data!Y$4:Y$195,3),3,4)))</f>
        <v>1</v>
      </c>
      <c r="Z113" s="22">
        <f>IF(Data!Z113&lt;=QUARTILE(Data!Z$4:Z$195,1),1,IF(Data!Z113&lt;=MEDIAN(Data!Z$4:Z$195),2,IF(Data!Z113&lt;=QUARTILE(Data!Z$4:Z$195,3),3,4)))</f>
        <v>1</v>
      </c>
      <c r="AA113" s="25">
        <f>IF(Data!AA113&lt;=QUARTILE(Data!AA$4:AA$195,1),1,IF(Data!AA113&lt;=MEDIAN(Data!AA$4:AA$195),2,IF(Data!AA113&lt;=QUARTILE(Data!AA$4:AA$195,3),3,4)))</f>
        <v>1</v>
      </c>
      <c r="AB113" s="22">
        <f>IF(Data!AB113&lt;=QUARTILE(Data!AB$4:AB$195,1),1,IF(Data!AB113&lt;=MEDIAN(Data!AB$4:AB$195),2,IF(Data!AB113&lt;=QUARTILE(Data!AB$4:AB$195,3),3,4)))</f>
        <v>1</v>
      </c>
      <c r="AC113" s="25">
        <f>IF(Data!AC113&lt;=QUARTILE(Data!AC$4:AC$195,1),1,IF(Data!AC113&lt;=MEDIAN(Data!AC$4:AC$195),2,IF(Data!AC113&lt;=QUARTILE(Data!AC$4:AC$195,3),3,4)))</f>
        <v>1</v>
      </c>
      <c r="AD113" s="22">
        <f>IF(Data!AD113&lt;=QUARTILE(Data!AD$4:AD$195,1),1,IF(Data!AD113&lt;=MEDIAN(Data!AD$4:AD$195),2,IF(Data!AD113&lt;=QUARTILE(Data!AD$4:AD$195,3),3,4)))</f>
        <v>2</v>
      </c>
      <c r="AE113" s="28">
        <f>IF(Data!AE113&lt;=QUARTILE(Data!AE$4:AE$195,1),1,IF(Data!AE113&lt;=MEDIAN(Data!AE$4:AE$195),2,IF(Data!AE113&lt;=QUARTILE(Data!AE$4:AE$195,3),3,4)))</f>
        <v>2</v>
      </c>
      <c r="AF113" s="28">
        <f>IF(Data!AF113&lt;=QUARTILE(Data!AF$4:AF$195,1),1,IF(Data!AF113&lt;=MEDIAN(Data!AF$4:AF$195),2,IF(Data!AF113&lt;=QUARTILE(Data!AF$4:AF$195,3),3,4)))</f>
        <v>3</v>
      </c>
      <c r="AG113" s="28">
        <f>IF(Data!AG113&lt;=QUARTILE(Data!AG$4:AG$195,1),1,IF(Data!AG113&lt;=MEDIAN(Data!AG$4:AG$195),2,IF(Data!AG113&lt;=QUARTILE(Data!AG$4:AG$195,3),3,4)))</f>
        <v>2</v>
      </c>
      <c r="AH113" s="22">
        <f>IF(Data!AH113&lt;=QUARTILE(Data!AH$4:AH$195,1),1,IF(Data!AH113&lt;=MEDIAN(Data!AH$4:AH$195),2,IF(Data!AH113&lt;=QUARTILE(Data!AH$4:AH$195,3),3,4)))</f>
        <v>3</v>
      </c>
      <c r="AI113" s="25">
        <f>IF(Data!AI113&lt;=QUARTILE(Data!AI$4:AI$195,1),1,IF(Data!AI113&lt;=MEDIAN(Data!AI$4:AI$195),2,IF(Data!AI113&lt;=QUARTILE(Data!AI$4:AI$195,3),3,4)))</f>
        <v>1</v>
      </c>
      <c r="AJ113" s="22">
        <f>IF(Data!AJ113&lt;=QUARTILE(Data!AJ$4:AJ$195,1),1,IF(Data!AJ113&lt;=MEDIAN(Data!AJ$4:AJ$195),2,IF(Data!AJ113&lt;=QUARTILE(Data!AJ$4:AJ$195,3),3,4)))</f>
        <v>1</v>
      </c>
      <c r="AK113" s="25">
        <f>IF(Data!AK113&lt;=QUARTILE(Data!AK$4:AK$195,1),1,IF(Data!AK113&lt;=MEDIAN(Data!AK$4:AK$195),2,IF(Data!AK113&lt;=QUARTILE(Data!AK$4:AK$195,3),3,4)))</f>
        <v>3</v>
      </c>
      <c r="AL113" s="28">
        <f>IF(Data!AL113&lt;=QUARTILE(Data!AL$4:AL$195,1),1,IF(Data!AL113&lt;=MEDIAN(Data!AL$4:AL$195),2,IF(Data!AL113&lt;=QUARTILE(Data!AL$4:AL$195,3),3,4)))</f>
        <v>3</v>
      </c>
      <c r="AM113" s="28">
        <f>IF(Data!AM113&lt;=QUARTILE(Data!AM$4:AM$195,1),1,IF(Data!AM113&lt;=MEDIAN(Data!AM$4:AM$195),2,IF(Data!AM113&lt;=QUARTILE(Data!AM$4:AM$195,3),3,4)))</f>
        <v>1</v>
      </c>
      <c r="AN113" s="22">
        <f>IF(Data!AN113&lt;=QUARTILE(Data!AN$4:AN$195,1),1,IF(Data!AN113&lt;=MEDIAN(Data!AN$4:AN$195),2,IF(Data!AN113&lt;=QUARTILE(Data!AN$4:AN$195,3),3,4)))</f>
        <v>4</v>
      </c>
      <c r="AO113" s="28">
        <f>IF(Data!AO113&lt;=QUARTILE(Data!AO$4:AO$195,1),1,IF(Data!AO113&lt;=MEDIAN(Data!AO$4:AO$195),2,IF(Data!AO113&lt;=QUARTILE(Data!AO$4:AO$195,3),3,4)))</f>
        <v>1</v>
      </c>
      <c r="AP113" s="28">
        <f>IF(Data!AP113&lt;=QUARTILE(Data!AP$4:AP$195,1),1,IF(Data!AP113&lt;=MEDIAN(Data!AP$4:AP$195),2,IF(Data!AP113&lt;=QUARTILE(Data!AP$4:AP$195,3),3,4)))</f>
        <v>1</v>
      </c>
      <c r="AQ113" s="28">
        <f>IF(Data!AQ113&lt;=QUARTILE(Data!AQ$4:AQ$195,1),1,IF(Data!AQ113&lt;=MEDIAN(Data!AQ$4:AQ$195),2,IF(Data!AQ113&lt;=QUARTILE(Data!AQ$4:AQ$195,3),3,4)))</f>
        <v>1</v>
      </c>
      <c r="AR113" s="28">
        <f>IF(Data!AR113&lt;=QUARTILE(Data!AR$4:AR$195,1),1,IF(Data!AR113&lt;=MEDIAN(Data!AR$4:AR$195),2,IF(Data!AR113&lt;=QUARTILE(Data!AR$4:AR$195,3),3,4)))</f>
        <v>1</v>
      </c>
      <c r="AS113" s="28">
        <f>IF(Data!AS113&lt;=QUARTILE(Data!AS$4:AS$195,1),1,IF(Data!AS113&lt;=MEDIAN(Data!AS$4:AS$195),2,IF(Data!AS113&lt;=QUARTILE(Data!AS$4:AS$195,3),3,4)))</f>
        <v>1</v>
      </c>
      <c r="AT113" s="28">
        <f>IF(Data!AT113&lt;=QUARTILE(Data!AT$4:AT$195,1),1,IF(Data!AT113&lt;=MEDIAN(Data!AT$4:AT$195),2,IF(Data!AT113&lt;=QUARTILE(Data!AT$4:AT$195,3),3,4)))</f>
        <v>1</v>
      </c>
      <c r="AU113" s="22">
        <f>IF(Data!AU113&lt;=QUARTILE(Data!AU$4:AU$195,1),1,IF(Data!AU113&lt;=MEDIAN(Data!AU$4:AU$195),2,IF(Data!AU113&lt;=QUARTILE(Data!AU$4:AU$195,3),3,4)))</f>
        <v>1</v>
      </c>
      <c r="AV113" s="25">
        <f>IF(Data!AV113&lt;=QUARTILE(Data!AV$4:AV$195,1),1,IF(Data!AV113&lt;=MEDIAN(Data!AV$4:AV$195),2,IF(Data!AV113&lt;=QUARTILE(Data!AV$4:AV$195,3),3,4)))</f>
        <v>4</v>
      </c>
      <c r="AW113" s="28">
        <f>IF(Data!AW113&lt;=QUARTILE(Data!AW$4:AW$195,1),1,IF(Data!AW113&lt;=MEDIAN(Data!AW$4:AW$195),2,IF(Data!AW113&lt;=QUARTILE(Data!AW$4:AW$195,3),3,4)))</f>
        <v>4</v>
      </c>
      <c r="AX113" s="28">
        <f>IF(Data!AX113&lt;=QUARTILE(Data!AX$4:AX$195,1),1,IF(Data!AX113&lt;=MEDIAN(Data!AX$4:AX$195),2,IF(Data!AX113&lt;=QUARTILE(Data!AX$4:AX$195,3),3,4)))</f>
        <v>4</v>
      </c>
      <c r="AY113" s="22">
        <f>IF(Data!AY113&lt;=QUARTILE(Data!AY$4:AY$195,1),1,IF(Data!AY113&lt;=MEDIAN(Data!AY$4:AY$195),2,IF(Data!AY113&lt;=QUARTILE(Data!AY$4:AY$195,3),3,4)))</f>
        <v>4</v>
      </c>
      <c r="AZ113" s="25">
        <f>IF(Data!AZ113&lt;=QUARTILE(Data!AZ$4:AZ$195,1),1,IF(Data!AZ113&lt;=MEDIAN(Data!AZ$4:AZ$195),2,IF(Data!AZ113&lt;=QUARTILE(Data!AZ$4:AZ$195,3),3,4)))</f>
        <v>2</v>
      </c>
      <c r="BA113" s="22">
        <f>IF(Data!BA113&lt;=QUARTILE(Data!BA$4:BA$195,1),1,IF(Data!BA113&lt;=MEDIAN(Data!BA$4:BA$195),2,IF(Data!BA113&lt;=QUARTILE(Data!BA$4:BA$195,3),3,4)))</f>
        <v>2</v>
      </c>
    </row>
    <row r="114" spans="1:53" x14ac:dyDescent="0.25">
      <c r="A114" s="4" t="s">
        <v>14</v>
      </c>
      <c r="B114" s="40">
        <v>2006</v>
      </c>
      <c r="C114" s="25">
        <v>8</v>
      </c>
      <c r="D114" s="28">
        <v>8</v>
      </c>
      <c r="E114" s="77" t="s">
        <v>96</v>
      </c>
      <c r="F114" s="28">
        <v>7.5</v>
      </c>
      <c r="G114" s="28">
        <v>2.6</v>
      </c>
      <c r="H114" s="22">
        <v>4.9000000000000004</v>
      </c>
      <c r="I114" s="25">
        <f>IF(Data!I114&lt;=QUARTILE(Data!I$4:I$195,1),1,IF(Data!I114&lt;=MEDIAN(Data!I$4:I$195),2,IF(Data!I114&lt;=QUARTILE(Data!I$4:I$195,3),3,4)))</f>
        <v>3</v>
      </c>
      <c r="J114" s="28">
        <f>IF(Data!J114&lt;=QUARTILE(Data!J$4:J$195,1),1,IF(Data!J114&lt;=MEDIAN(Data!J$4:J$195),2,IF(Data!J114&lt;=QUARTILE(Data!J$4:J$195,3),3,4)))</f>
        <v>3</v>
      </c>
      <c r="K114" s="28">
        <f>IF(Data!K114&lt;=QUARTILE(Data!K$4:K$195,1),1,IF(Data!K114&lt;=MEDIAN(Data!K$4:K$195),2,IF(Data!K114&lt;=QUARTILE(Data!K$4:K$195,3),3,4)))</f>
        <v>2</v>
      </c>
      <c r="L114" s="22">
        <f>IF(Data!L114&lt;=QUARTILE(Data!L$4:L$195,1),1,IF(Data!L114&lt;=MEDIAN(Data!L$4:L$195),2,IF(Data!L114&lt;=QUARTILE(Data!L$4:L$195,3),3,4)))</f>
        <v>2</v>
      </c>
      <c r="M114" s="28">
        <f>IF(Data!M114&lt;=QUARTILE(Data!M$4:M$195,1),1,IF(Data!M114&lt;=MEDIAN(Data!M$4:M$195),2,IF(Data!M114&lt;=QUARTILE(Data!M$4:M$195,3),3,4)))</f>
        <v>1</v>
      </c>
      <c r="N114" s="28">
        <f>IF(Data!N114&lt;=QUARTILE(Data!N$4:N$195,1),1,IF(Data!N114&lt;=MEDIAN(Data!N$4:N$195),2,IF(Data!N114&lt;=QUARTILE(Data!N$4:N$195,3),3,4)))</f>
        <v>1</v>
      </c>
      <c r="O114" s="28">
        <f>IF(Data!O114&lt;=QUARTILE(Data!O$4:O$195,1),1,IF(Data!O114&lt;=MEDIAN(Data!O$4:O$195),2,IF(Data!O114&lt;=QUARTILE(Data!O$4:O$195,3),3,4)))</f>
        <v>1</v>
      </c>
      <c r="P114" s="28">
        <f>IF(Data!P114&lt;=QUARTILE(Data!P$4:P$195,1),1,IF(Data!P114&lt;=MEDIAN(Data!P$4:P$195),2,IF(Data!P114&lt;=QUARTILE(Data!P$4:P$195,3),3,4)))</f>
        <v>2</v>
      </c>
      <c r="Q114" s="28">
        <f>IF(Data!Q114&lt;=QUARTILE(Data!Q$4:Q$195,1),1,IF(Data!Q114&lt;=MEDIAN(Data!Q$4:Q$195),2,IF(Data!Q114&lt;=QUARTILE(Data!Q$4:Q$195,3),3,4)))</f>
        <v>1</v>
      </c>
      <c r="R114" s="28">
        <f>IF(Data!R114&lt;=QUARTILE(Data!R$4:R$195,1),1,IF(Data!R114&lt;=MEDIAN(Data!R$4:R$195),2,IF(Data!R114&lt;=QUARTILE(Data!R$4:R$195,3),3,4)))</f>
        <v>2</v>
      </c>
      <c r="S114" s="28">
        <f>IF(Data!S114&lt;=QUARTILE(Data!S$4:S$195,1),1,IF(Data!S114&lt;=MEDIAN(Data!S$4:S$195),2,IF(Data!S114&lt;=QUARTILE(Data!S$4:S$195,3),3,4)))</f>
        <v>2</v>
      </c>
      <c r="T114" s="22">
        <f>IF(Data!T114&lt;=QUARTILE(Data!T$4:T$195,1),1,IF(Data!T114&lt;=MEDIAN(Data!T$4:T$195),2,IF(Data!T114&lt;=QUARTILE(Data!T$4:T$195,3),3,4)))</f>
        <v>2</v>
      </c>
      <c r="U114" s="25">
        <f>IF(Data!U114&lt;=QUARTILE(Data!U$4:U$195,1),1,IF(Data!U114&lt;=MEDIAN(Data!U$4:U$195),2,IF(Data!U114&lt;=QUARTILE(Data!U$4:U$195,3),3,4)))</f>
        <v>4</v>
      </c>
      <c r="V114" s="28">
        <f>IF(Data!V114&lt;=QUARTILE(Data!V$4:V$195,1),1,IF(Data!V114&lt;=MEDIAN(Data!V$4:V$195),2,IF(Data!V114&lt;=QUARTILE(Data!V$4:V$195,3),3,4)))</f>
        <v>4</v>
      </c>
      <c r="W114" s="28">
        <f>IF(Data!W114&lt;=QUARTILE(Data!W$4:W$195,1),1,IF(Data!W114&lt;=MEDIAN(Data!W$4:W$195),2,IF(Data!W114&lt;=QUARTILE(Data!W$4:W$195,3),3,4)))</f>
        <v>4</v>
      </c>
      <c r="X114" s="22">
        <f>IF(Data!X114&lt;=QUARTILE(Data!X$4:X$195,1),1,IF(Data!X114&lt;=MEDIAN(Data!X$4:X$195),2,IF(Data!X114&lt;=QUARTILE(Data!X$4:X$195,3),3,4)))</f>
        <v>4</v>
      </c>
      <c r="Y114" s="28">
        <f>IF(Data!Y114&lt;=QUARTILE(Data!Y$4:Y$195,1),1,IF(Data!Y114&lt;=MEDIAN(Data!Y$4:Y$195),2,IF(Data!Y114&lt;=QUARTILE(Data!Y$4:Y$195,3),3,4)))</f>
        <v>2</v>
      </c>
      <c r="Z114" s="22">
        <f>IF(Data!Z114&lt;=QUARTILE(Data!Z$4:Z$195,1),1,IF(Data!Z114&lt;=MEDIAN(Data!Z$4:Z$195),2,IF(Data!Z114&lt;=QUARTILE(Data!Z$4:Z$195,3),3,4)))</f>
        <v>1</v>
      </c>
      <c r="AA114" s="25">
        <f>IF(Data!AA114&lt;=QUARTILE(Data!AA$4:AA$195,1),1,IF(Data!AA114&lt;=MEDIAN(Data!AA$4:AA$195),2,IF(Data!AA114&lt;=QUARTILE(Data!AA$4:AA$195,3),3,4)))</f>
        <v>4</v>
      </c>
      <c r="AB114" s="22">
        <f>IF(Data!AB114&lt;=QUARTILE(Data!AB$4:AB$195,1),1,IF(Data!AB114&lt;=MEDIAN(Data!AB$4:AB$195),2,IF(Data!AB114&lt;=QUARTILE(Data!AB$4:AB$195,3),3,4)))</f>
        <v>3</v>
      </c>
      <c r="AC114" s="25">
        <f>IF(Data!AC114&lt;=QUARTILE(Data!AC$4:AC$195,1),1,IF(Data!AC114&lt;=MEDIAN(Data!AC$4:AC$195),2,IF(Data!AC114&lt;=QUARTILE(Data!AC$4:AC$195,3),3,4)))</f>
        <v>1</v>
      </c>
      <c r="AD114" s="22">
        <f>IF(Data!AD114&lt;=QUARTILE(Data!AD$4:AD$195,1),1,IF(Data!AD114&lt;=MEDIAN(Data!AD$4:AD$195),2,IF(Data!AD114&lt;=QUARTILE(Data!AD$4:AD$195,3),3,4)))</f>
        <v>1</v>
      </c>
      <c r="AE114" s="28">
        <f>IF(Data!AE114&lt;=QUARTILE(Data!AE$4:AE$195,1),1,IF(Data!AE114&lt;=MEDIAN(Data!AE$4:AE$195),2,IF(Data!AE114&lt;=QUARTILE(Data!AE$4:AE$195,3),3,4)))</f>
        <v>1</v>
      </c>
      <c r="AF114" s="28">
        <f>IF(Data!AF114&lt;=QUARTILE(Data!AF$4:AF$195,1),1,IF(Data!AF114&lt;=MEDIAN(Data!AF$4:AF$195),2,IF(Data!AF114&lt;=QUARTILE(Data!AF$4:AF$195,3),3,4)))</f>
        <v>1</v>
      </c>
      <c r="AG114" s="28">
        <f>IF(Data!AG114&lt;=QUARTILE(Data!AG$4:AG$195,1),1,IF(Data!AG114&lt;=MEDIAN(Data!AG$4:AG$195),2,IF(Data!AG114&lt;=QUARTILE(Data!AG$4:AG$195,3),3,4)))</f>
        <v>4</v>
      </c>
      <c r="AH114" s="22">
        <f>IF(Data!AH114&lt;=QUARTILE(Data!AH$4:AH$195,1),1,IF(Data!AH114&lt;=MEDIAN(Data!AH$4:AH$195),2,IF(Data!AH114&lt;=QUARTILE(Data!AH$4:AH$195,3),3,4)))</f>
        <v>4</v>
      </c>
      <c r="AI114" s="25">
        <f>IF(Data!AI114&lt;=QUARTILE(Data!AI$4:AI$195,1),1,IF(Data!AI114&lt;=MEDIAN(Data!AI$4:AI$195),2,IF(Data!AI114&lt;=QUARTILE(Data!AI$4:AI$195,3),3,4)))</f>
        <v>2</v>
      </c>
      <c r="AJ114" s="22">
        <f>IF(Data!AJ114&lt;=QUARTILE(Data!AJ$4:AJ$195,1),1,IF(Data!AJ114&lt;=MEDIAN(Data!AJ$4:AJ$195),2,IF(Data!AJ114&lt;=QUARTILE(Data!AJ$4:AJ$195,3),3,4)))</f>
        <v>2</v>
      </c>
      <c r="AK114" s="25">
        <f>IF(Data!AK114&lt;=QUARTILE(Data!AK$4:AK$195,1),1,IF(Data!AK114&lt;=MEDIAN(Data!AK$4:AK$195),2,IF(Data!AK114&lt;=QUARTILE(Data!AK$4:AK$195,3),3,4)))</f>
        <v>1</v>
      </c>
      <c r="AL114" s="28">
        <f>IF(Data!AL114&lt;=QUARTILE(Data!AL$4:AL$195,1),1,IF(Data!AL114&lt;=MEDIAN(Data!AL$4:AL$195),2,IF(Data!AL114&lt;=QUARTILE(Data!AL$4:AL$195,3),3,4)))</f>
        <v>1</v>
      </c>
      <c r="AM114" s="28">
        <f>IF(Data!AM114&lt;=QUARTILE(Data!AM$4:AM$195,1),1,IF(Data!AM114&lt;=MEDIAN(Data!AM$4:AM$195),2,IF(Data!AM114&lt;=QUARTILE(Data!AM$4:AM$195,3),3,4)))</f>
        <v>2</v>
      </c>
      <c r="AN114" s="22">
        <f>IF(Data!AN114&lt;=QUARTILE(Data!AN$4:AN$195,1),1,IF(Data!AN114&lt;=MEDIAN(Data!AN$4:AN$195),2,IF(Data!AN114&lt;=QUARTILE(Data!AN$4:AN$195,3),3,4)))</f>
        <v>1</v>
      </c>
      <c r="AO114" s="28">
        <f>IF(Data!AO114&lt;=QUARTILE(Data!AO$4:AO$195,1),1,IF(Data!AO114&lt;=MEDIAN(Data!AO$4:AO$195),2,IF(Data!AO114&lt;=QUARTILE(Data!AO$4:AO$195,3),3,4)))</f>
        <v>2</v>
      </c>
      <c r="AP114" s="28">
        <f>IF(Data!AP114&lt;=QUARTILE(Data!AP$4:AP$195,1),1,IF(Data!AP114&lt;=MEDIAN(Data!AP$4:AP$195),2,IF(Data!AP114&lt;=QUARTILE(Data!AP$4:AP$195,3),3,4)))</f>
        <v>3</v>
      </c>
      <c r="AQ114" s="28">
        <f>IF(Data!AQ114&lt;=QUARTILE(Data!AQ$4:AQ$195,1),1,IF(Data!AQ114&lt;=MEDIAN(Data!AQ$4:AQ$195),2,IF(Data!AQ114&lt;=QUARTILE(Data!AQ$4:AQ$195,3),3,4)))</f>
        <v>1</v>
      </c>
      <c r="AR114" s="28">
        <f>IF(Data!AR114&lt;=QUARTILE(Data!AR$4:AR$195,1),1,IF(Data!AR114&lt;=MEDIAN(Data!AR$4:AR$195),2,IF(Data!AR114&lt;=QUARTILE(Data!AR$4:AR$195,3),3,4)))</f>
        <v>1</v>
      </c>
      <c r="AS114" s="28">
        <f>IF(Data!AS114&lt;=QUARTILE(Data!AS$4:AS$195,1),1,IF(Data!AS114&lt;=MEDIAN(Data!AS$4:AS$195),2,IF(Data!AS114&lt;=QUARTILE(Data!AS$4:AS$195,3),3,4)))</f>
        <v>1</v>
      </c>
      <c r="AT114" s="28">
        <f>IF(Data!AT114&lt;=QUARTILE(Data!AT$4:AT$195,1),1,IF(Data!AT114&lt;=MEDIAN(Data!AT$4:AT$195),2,IF(Data!AT114&lt;=QUARTILE(Data!AT$4:AT$195,3),3,4)))</f>
        <v>2</v>
      </c>
      <c r="AU114" s="22">
        <f>IF(Data!AU114&lt;=QUARTILE(Data!AU$4:AU$195,1),1,IF(Data!AU114&lt;=MEDIAN(Data!AU$4:AU$195),2,IF(Data!AU114&lt;=QUARTILE(Data!AU$4:AU$195,3),3,4)))</f>
        <v>2</v>
      </c>
      <c r="AV114" s="25">
        <f>IF(Data!AV114&lt;=QUARTILE(Data!AV$4:AV$195,1),1,IF(Data!AV114&lt;=MEDIAN(Data!AV$4:AV$195),2,IF(Data!AV114&lt;=QUARTILE(Data!AV$4:AV$195,3),3,4)))</f>
        <v>2</v>
      </c>
      <c r="AW114" s="28">
        <f>IF(Data!AW114&lt;=QUARTILE(Data!AW$4:AW$195,1),1,IF(Data!AW114&lt;=MEDIAN(Data!AW$4:AW$195),2,IF(Data!AW114&lt;=QUARTILE(Data!AW$4:AW$195,3),3,4)))</f>
        <v>1</v>
      </c>
      <c r="AX114" s="28">
        <f>IF(Data!AX114&lt;=QUARTILE(Data!AX$4:AX$195,1),1,IF(Data!AX114&lt;=MEDIAN(Data!AX$4:AX$195),2,IF(Data!AX114&lt;=QUARTILE(Data!AX$4:AX$195,3),3,4)))</f>
        <v>3</v>
      </c>
      <c r="AY114" s="22">
        <f>IF(Data!AY114&lt;=QUARTILE(Data!AY$4:AY$195,1),1,IF(Data!AY114&lt;=MEDIAN(Data!AY$4:AY$195),2,IF(Data!AY114&lt;=QUARTILE(Data!AY$4:AY$195,3),3,4)))</f>
        <v>2</v>
      </c>
      <c r="AZ114" s="25">
        <f>IF(Data!AZ114&lt;=QUARTILE(Data!AZ$4:AZ$195,1),1,IF(Data!AZ114&lt;=MEDIAN(Data!AZ$4:AZ$195),2,IF(Data!AZ114&lt;=QUARTILE(Data!AZ$4:AZ$195,3),3,4)))</f>
        <v>4</v>
      </c>
      <c r="BA114" s="22">
        <f>IF(Data!BA114&lt;=QUARTILE(Data!BA$4:BA$195,1),1,IF(Data!BA114&lt;=MEDIAN(Data!BA$4:BA$195),2,IF(Data!BA114&lt;=QUARTILE(Data!BA$4:BA$195,3),3,4)))</f>
        <v>1</v>
      </c>
    </row>
    <row r="115" spans="1:53" x14ac:dyDescent="0.25">
      <c r="A115" s="4" t="s">
        <v>18</v>
      </c>
      <c r="B115" s="40">
        <v>2006</v>
      </c>
      <c r="C115" s="25">
        <v>9</v>
      </c>
      <c r="D115" s="28">
        <v>7</v>
      </c>
      <c r="E115" s="77" t="s">
        <v>97</v>
      </c>
      <c r="F115" s="28">
        <v>1</v>
      </c>
      <c r="G115" s="28">
        <v>0.4</v>
      </c>
      <c r="H115" s="22">
        <v>0.6</v>
      </c>
      <c r="I115" s="25">
        <f>IF(Data!I115&lt;=QUARTILE(Data!I$4:I$195,1),1,IF(Data!I115&lt;=MEDIAN(Data!I$4:I$195),2,IF(Data!I115&lt;=QUARTILE(Data!I$4:I$195,3),3,4)))</f>
        <v>2</v>
      </c>
      <c r="J115" s="28">
        <f>IF(Data!J115&lt;=QUARTILE(Data!J$4:J$195,1),1,IF(Data!J115&lt;=MEDIAN(Data!J$4:J$195),2,IF(Data!J115&lt;=QUARTILE(Data!J$4:J$195,3),3,4)))</f>
        <v>2</v>
      </c>
      <c r="K115" s="28">
        <f>IF(Data!K115&lt;=QUARTILE(Data!K$4:K$195,1),1,IF(Data!K115&lt;=MEDIAN(Data!K$4:K$195),2,IF(Data!K115&lt;=QUARTILE(Data!K$4:K$195,3),3,4)))</f>
        <v>2</v>
      </c>
      <c r="L115" s="22">
        <f>IF(Data!L115&lt;=QUARTILE(Data!L$4:L$195,1),1,IF(Data!L115&lt;=MEDIAN(Data!L$4:L$195),2,IF(Data!L115&lt;=QUARTILE(Data!L$4:L$195,3),3,4)))</f>
        <v>3</v>
      </c>
      <c r="M115" s="28">
        <f>IF(Data!M115&lt;=QUARTILE(Data!M$4:M$195,1),1,IF(Data!M115&lt;=MEDIAN(Data!M$4:M$195),2,IF(Data!M115&lt;=QUARTILE(Data!M$4:M$195,3),3,4)))</f>
        <v>1</v>
      </c>
      <c r="N115" s="28">
        <f>IF(Data!N115&lt;=QUARTILE(Data!N$4:N$195,1),1,IF(Data!N115&lt;=MEDIAN(Data!N$4:N$195),2,IF(Data!N115&lt;=QUARTILE(Data!N$4:N$195,3),3,4)))</f>
        <v>1</v>
      </c>
      <c r="O115" s="28">
        <f>IF(Data!O115&lt;=QUARTILE(Data!O$4:O$195,1),1,IF(Data!O115&lt;=MEDIAN(Data!O$4:O$195),2,IF(Data!O115&lt;=QUARTILE(Data!O$4:O$195,3),3,4)))</f>
        <v>2</v>
      </c>
      <c r="P115" s="28">
        <f>IF(Data!P115&lt;=QUARTILE(Data!P$4:P$195,1),1,IF(Data!P115&lt;=MEDIAN(Data!P$4:P$195),2,IF(Data!P115&lt;=QUARTILE(Data!P$4:P$195,3),3,4)))</f>
        <v>2</v>
      </c>
      <c r="Q115" s="28">
        <f>IF(Data!Q115&lt;=QUARTILE(Data!Q$4:Q$195,1),1,IF(Data!Q115&lt;=MEDIAN(Data!Q$4:Q$195),2,IF(Data!Q115&lt;=QUARTILE(Data!Q$4:Q$195,3),3,4)))</f>
        <v>3</v>
      </c>
      <c r="R115" s="28">
        <f>IF(Data!R115&lt;=QUARTILE(Data!R$4:R$195,1),1,IF(Data!R115&lt;=MEDIAN(Data!R$4:R$195),2,IF(Data!R115&lt;=QUARTILE(Data!R$4:R$195,3),3,4)))</f>
        <v>3</v>
      </c>
      <c r="S115" s="28">
        <f>IF(Data!S115&lt;=QUARTILE(Data!S$4:S$195,1),1,IF(Data!S115&lt;=MEDIAN(Data!S$4:S$195),2,IF(Data!S115&lt;=QUARTILE(Data!S$4:S$195,3),3,4)))</f>
        <v>3</v>
      </c>
      <c r="T115" s="22">
        <f>IF(Data!T115&lt;=QUARTILE(Data!T$4:T$195,1),1,IF(Data!T115&lt;=MEDIAN(Data!T$4:T$195),2,IF(Data!T115&lt;=QUARTILE(Data!T$4:T$195,3),3,4)))</f>
        <v>3</v>
      </c>
      <c r="U115" s="25">
        <f>IF(Data!U115&lt;=QUARTILE(Data!U$4:U$195,1),1,IF(Data!U115&lt;=MEDIAN(Data!U$4:U$195),2,IF(Data!U115&lt;=QUARTILE(Data!U$4:U$195,3),3,4)))</f>
        <v>4</v>
      </c>
      <c r="V115" s="28">
        <f>IF(Data!V115&lt;=QUARTILE(Data!V$4:V$195,1),1,IF(Data!V115&lt;=MEDIAN(Data!V$4:V$195),2,IF(Data!V115&lt;=QUARTILE(Data!V$4:V$195,3),3,4)))</f>
        <v>4</v>
      </c>
      <c r="W115" s="28">
        <f>IF(Data!W115&lt;=QUARTILE(Data!W$4:W$195,1),1,IF(Data!W115&lt;=MEDIAN(Data!W$4:W$195),2,IF(Data!W115&lt;=QUARTILE(Data!W$4:W$195,3),3,4)))</f>
        <v>3</v>
      </c>
      <c r="X115" s="22">
        <f>IF(Data!X115&lt;=QUARTILE(Data!X$4:X$195,1),1,IF(Data!X115&lt;=MEDIAN(Data!X$4:X$195),2,IF(Data!X115&lt;=QUARTILE(Data!X$4:X$195,3),3,4)))</f>
        <v>3</v>
      </c>
      <c r="Y115" s="28">
        <f>IF(Data!Y115&lt;=QUARTILE(Data!Y$4:Y$195,1),1,IF(Data!Y115&lt;=MEDIAN(Data!Y$4:Y$195),2,IF(Data!Y115&lt;=QUARTILE(Data!Y$4:Y$195,3),3,4)))</f>
        <v>1</v>
      </c>
      <c r="Z115" s="22">
        <f>IF(Data!Z115&lt;=QUARTILE(Data!Z$4:Z$195,1),1,IF(Data!Z115&lt;=MEDIAN(Data!Z$4:Z$195),2,IF(Data!Z115&lt;=QUARTILE(Data!Z$4:Z$195,3),3,4)))</f>
        <v>3</v>
      </c>
      <c r="AA115" s="25">
        <f>IF(Data!AA115&lt;=QUARTILE(Data!AA$4:AA$195,1),1,IF(Data!AA115&lt;=MEDIAN(Data!AA$4:AA$195),2,IF(Data!AA115&lt;=QUARTILE(Data!AA$4:AA$195,3),3,4)))</f>
        <v>2</v>
      </c>
      <c r="AB115" s="22">
        <f>IF(Data!AB115&lt;=QUARTILE(Data!AB$4:AB$195,1),1,IF(Data!AB115&lt;=MEDIAN(Data!AB$4:AB$195),2,IF(Data!AB115&lt;=QUARTILE(Data!AB$4:AB$195,3),3,4)))</f>
        <v>2</v>
      </c>
      <c r="AC115" s="25">
        <f>IF(Data!AC115&lt;=QUARTILE(Data!AC$4:AC$195,1),1,IF(Data!AC115&lt;=MEDIAN(Data!AC$4:AC$195),2,IF(Data!AC115&lt;=QUARTILE(Data!AC$4:AC$195,3),3,4)))</f>
        <v>2</v>
      </c>
      <c r="AD115" s="22">
        <f>IF(Data!AD115&lt;=QUARTILE(Data!AD$4:AD$195,1),1,IF(Data!AD115&lt;=MEDIAN(Data!AD$4:AD$195),2,IF(Data!AD115&lt;=QUARTILE(Data!AD$4:AD$195,3),3,4)))</f>
        <v>2</v>
      </c>
      <c r="AE115" s="28">
        <f>IF(Data!AE115&lt;=QUARTILE(Data!AE$4:AE$195,1),1,IF(Data!AE115&lt;=MEDIAN(Data!AE$4:AE$195),2,IF(Data!AE115&lt;=QUARTILE(Data!AE$4:AE$195,3),3,4)))</f>
        <v>2</v>
      </c>
      <c r="AF115" s="28">
        <f>IF(Data!AF115&lt;=QUARTILE(Data!AF$4:AF$195,1),1,IF(Data!AF115&lt;=MEDIAN(Data!AF$4:AF$195),2,IF(Data!AF115&lt;=QUARTILE(Data!AF$4:AF$195,3),3,4)))</f>
        <v>2</v>
      </c>
      <c r="AG115" s="28">
        <f>IF(Data!AG115&lt;=QUARTILE(Data!AG$4:AG$195,1),1,IF(Data!AG115&lt;=MEDIAN(Data!AG$4:AG$195),2,IF(Data!AG115&lt;=QUARTILE(Data!AG$4:AG$195,3),3,4)))</f>
        <v>3</v>
      </c>
      <c r="AH115" s="22">
        <f>IF(Data!AH115&lt;=QUARTILE(Data!AH$4:AH$195,1),1,IF(Data!AH115&lt;=MEDIAN(Data!AH$4:AH$195),2,IF(Data!AH115&lt;=QUARTILE(Data!AH$4:AH$195,3),3,4)))</f>
        <v>3</v>
      </c>
      <c r="AI115" s="25">
        <f>IF(Data!AI115&lt;=QUARTILE(Data!AI$4:AI$195,1),1,IF(Data!AI115&lt;=MEDIAN(Data!AI$4:AI$195),2,IF(Data!AI115&lt;=QUARTILE(Data!AI$4:AI$195,3),3,4)))</f>
        <v>2</v>
      </c>
      <c r="AJ115" s="22">
        <f>IF(Data!AJ115&lt;=QUARTILE(Data!AJ$4:AJ$195,1),1,IF(Data!AJ115&lt;=MEDIAN(Data!AJ$4:AJ$195),2,IF(Data!AJ115&lt;=QUARTILE(Data!AJ$4:AJ$195,3),3,4)))</f>
        <v>3</v>
      </c>
      <c r="AK115" s="25">
        <f>IF(Data!AK115&lt;=QUARTILE(Data!AK$4:AK$195,1),1,IF(Data!AK115&lt;=MEDIAN(Data!AK$4:AK$195),2,IF(Data!AK115&lt;=QUARTILE(Data!AK$4:AK$195,3),3,4)))</f>
        <v>2</v>
      </c>
      <c r="AL115" s="28">
        <f>IF(Data!AL115&lt;=QUARTILE(Data!AL$4:AL$195,1),1,IF(Data!AL115&lt;=MEDIAN(Data!AL$4:AL$195),2,IF(Data!AL115&lt;=QUARTILE(Data!AL$4:AL$195,3),3,4)))</f>
        <v>3</v>
      </c>
      <c r="AM115" s="28">
        <f>IF(Data!AM115&lt;=QUARTILE(Data!AM$4:AM$195,1),1,IF(Data!AM115&lt;=MEDIAN(Data!AM$4:AM$195),2,IF(Data!AM115&lt;=QUARTILE(Data!AM$4:AM$195,3),3,4)))</f>
        <v>3</v>
      </c>
      <c r="AN115" s="22">
        <f>IF(Data!AN115&lt;=QUARTILE(Data!AN$4:AN$195,1),1,IF(Data!AN115&lt;=MEDIAN(Data!AN$4:AN$195),2,IF(Data!AN115&lt;=QUARTILE(Data!AN$4:AN$195,3),3,4)))</f>
        <v>2</v>
      </c>
      <c r="AO115" s="28">
        <f>IF(Data!AO115&lt;=QUARTILE(Data!AO$4:AO$195,1),1,IF(Data!AO115&lt;=MEDIAN(Data!AO$4:AO$195),2,IF(Data!AO115&lt;=QUARTILE(Data!AO$4:AO$195,3),3,4)))</f>
        <v>2</v>
      </c>
      <c r="AP115" s="28">
        <f>IF(Data!AP115&lt;=QUARTILE(Data!AP$4:AP$195,1),1,IF(Data!AP115&lt;=MEDIAN(Data!AP$4:AP$195),2,IF(Data!AP115&lt;=QUARTILE(Data!AP$4:AP$195,3),3,4)))</f>
        <v>2</v>
      </c>
      <c r="AQ115" s="28">
        <f>IF(Data!AQ115&lt;=QUARTILE(Data!AQ$4:AQ$195,1),1,IF(Data!AQ115&lt;=MEDIAN(Data!AQ$4:AQ$195),2,IF(Data!AQ115&lt;=QUARTILE(Data!AQ$4:AQ$195,3),3,4)))</f>
        <v>2</v>
      </c>
      <c r="AR115" s="28">
        <f>IF(Data!AR115&lt;=QUARTILE(Data!AR$4:AR$195,1),1,IF(Data!AR115&lt;=MEDIAN(Data!AR$4:AR$195),2,IF(Data!AR115&lt;=QUARTILE(Data!AR$4:AR$195,3),3,4)))</f>
        <v>1</v>
      </c>
      <c r="AS115" s="28">
        <f>IF(Data!AS115&lt;=QUARTILE(Data!AS$4:AS$195,1),1,IF(Data!AS115&lt;=MEDIAN(Data!AS$4:AS$195),2,IF(Data!AS115&lt;=QUARTILE(Data!AS$4:AS$195,3),3,4)))</f>
        <v>2</v>
      </c>
      <c r="AT115" s="28">
        <f>IF(Data!AT115&lt;=QUARTILE(Data!AT$4:AT$195,1),1,IF(Data!AT115&lt;=MEDIAN(Data!AT$4:AT$195),2,IF(Data!AT115&lt;=QUARTILE(Data!AT$4:AT$195,3),3,4)))</f>
        <v>2</v>
      </c>
      <c r="AU115" s="22">
        <f>IF(Data!AU115&lt;=QUARTILE(Data!AU$4:AU$195,1),1,IF(Data!AU115&lt;=MEDIAN(Data!AU$4:AU$195),2,IF(Data!AU115&lt;=QUARTILE(Data!AU$4:AU$195,3),3,4)))</f>
        <v>1</v>
      </c>
      <c r="AV115" s="25">
        <f>IF(Data!AV115&lt;=QUARTILE(Data!AV$4:AV$195,1),1,IF(Data!AV115&lt;=MEDIAN(Data!AV$4:AV$195),2,IF(Data!AV115&lt;=QUARTILE(Data!AV$4:AV$195,3),3,4)))</f>
        <v>3</v>
      </c>
      <c r="AW115" s="28">
        <f>IF(Data!AW115&lt;=QUARTILE(Data!AW$4:AW$195,1),1,IF(Data!AW115&lt;=MEDIAN(Data!AW$4:AW$195),2,IF(Data!AW115&lt;=QUARTILE(Data!AW$4:AW$195,3),3,4)))</f>
        <v>3</v>
      </c>
      <c r="AX115" s="28">
        <f>IF(Data!AX115&lt;=QUARTILE(Data!AX$4:AX$195,1),1,IF(Data!AX115&lt;=MEDIAN(Data!AX$4:AX$195),2,IF(Data!AX115&lt;=QUARTILE(Data!AX$4:AX$195,3),3,4)))</f>
        <v>3</v>
      </c>
      <c r="AY115" s="22">
        <f>IF(Data!AY115&lt;=QUARTILE(Data!AY$4:AY$195,1),1,IF(Data!AY115&lt;=MEDIAN(Data!AY$4:AY$195),2,IF(Data!AY115&lt;=QUARTILE(Data!AY$4:AY$195,3),3,4)))</f>
        <v>3</v>
      </c>
      <c r="AZ115" s="25">
        <f>IF(Data!AZ115&lt;=QUARTILE(Data!AZ$4:AZ$195,1),1,IF(Data!AZ115&lt;=MEDIAN(Data!AZ$4:AZ$195),2,IF(Data!AZ115&lt;=QUARTILE(Data!AZ$4:AZ$195,3),3,4)))</f>
        <v>2</v>
      </c>
      <c r="BA115" s="22">
        <f>IF(Data!BA115&lt;=QUARTILE(Data!BA$4:BA$195,1),1,IF(Data!BA115&lt;=MEDIAN(Data!BA$4:BA$195),2,IF(Data!BA115&lt;=QUARTILE(Data!BA$4:BA$195,3),3,4)))</f>
        <v>4</v>
      </c>
    </row>
    <row r="116" spans="1:53" x14ac:dyDescent="0.25">
      <c r="A116" s="4" t="s">
        <v>5</v>
      </c>
      <c r="B116" s="40">
        <v>2006</v>
      </c>
      <c r="C116" s="25">
        <v>6</v>
      </c>
      <c r="D116" s="28">
        <v>10</v>
      </c>
      <c r="E116" s="77" t="s">
        <v>96</v>
      </c>
      <c r="F116" s="28">
        <v>0.7</v>
      </c>
      <c r="G116" s="28">
        <v>-3.3</v>
      </c>
      <c r="H116" s="22">
        <v>4</v>
      </c>
      <c r="I116" s="25">
        <f>IF(Data!I116&lt;=QUARTILE(Data!I$4:I$195,1),1,IF(Data!I116&lt;=MEDIAN(Data!I$4:I$195),2,IF(Data!I116&lt;=QUARTILE(Data!I$4:I$195,3),3,4)))</f>
        <v>1</v>
      </c>
      <c r="J116" s="28">
        <f>IF(Data!J116&lt;=QUARTILE(Data!J$4:J$195,1),1,IF(Data!J116&lt;=MEDIAN(Data!J$4:J$195),2,IF(Data!J116&lt;=QUARTILE(Data!J$4:J$195,3),3,4)))</f>
        <v>2</v>
      </c>
      <c r="K116" s="28">
        <f>IF(Data!K116&lt;=QUARTILE(Data!K$4:K$195,1),1,IF(Data!K116&lt;=MEDIAN(Data!K$4:K$195),2,IF(Data!K116&lt;=QUARTILE(Data!K$4:K$195,3),3,4)))</f>
        <v>4</v>
      </c>
      <c r="L116" s="22">
        <f>IF(Data!L116&lt;=QUARTILE(Data!L$4:L$195,1),1,IF(Data!L116&lt;=MEDIAN(Data!L$4:L$195),2,IF(Data!L116&lt;=QUARTILE(Data!L$4:L$195,3),3,4)))</f>
        <v>2</v>
      </c>
      <c r="M116" s="28">
        <f>IF(Data!M116&lt;=QUARTILE(Data!M$4:M$195,1),1,IF(Data!M116&lt;=MEDIAN(Data!M$4:M$195),2,IF(Data!M116&lt;=QUARTILE(Data!M$4:M$195,3),3,4)))</f>
        <v>3</v>
      </c>
      <c r="N116" s="28">
        <f>IF(Data!N116&lt;=QUARTILE(Data!N$4:N$195,1),1,IF(Data!N116&lt;=MEDIAN(Data!N$4:N$195),2,IF(Data!N116&lt;=QUARTILE(Data!N$4:N$195,3),3,4)))</f>
        <v>4</v>
      </c>
      <c r="O116" s="28">
        <f>IF(Data!O116&lt;=QUARTILE(Data!O$4:O$195,1),1,IF(Data!O116&lt;=MEDIAN(Data!O$4:O$195),2,IF(Data!O116&lt;=QUARTILE(Data!O$4:O$195,3),3,4)))</f>
        <v>2</v>
      </c>
      <c r="P116" s="28">
        <f>IF(Data!P116&lt;=QUARTILE(Data!P$4:P$195,1),1,IF(Data!P116&lt;=MEDIAN(Data!P$4:P$195),2,IF(Data!P116&lt;=QUARTILE(Data!P$4:P$195,3),3,4)))</f>
        <v>1</v>
      </c>
      <c r="Q116" s="28">
        <f>IF(Data!Q116&lt;=QUARTILE(Data!Q$4:Q$195,1),1,IF(Data!Q116&lt;=MEDIAN(Data!Q$4:Q$195),2,IF(Data!Q116&lt;=QUARTILE(Data!Q$4:Q$195,3),3,4)))</f>
        <v>3</v>
      </c>
      <c r="R116" s="28">
        <f>IF(Data!R116&lt;=QUARTILE(Data!R$4:R$195,1),1,IF(Data!R116&lt;=MEDIAN(Data!R$4:R$195),2,IF(Data!R116&lt;=QUARTILE(Data!R$4:R$195,3),3,4)))</f>
        <v>1</v>
      </c>
      <c r="S116" s="28">
        <f>IF(Data!S116&lt;=QUARTILE(Data!S$4:S$195,1),1,IF(Data!S116&lt;=MEDIAN(Data!S$4:S$195),2,IF(Data!S116&lt;=QUARTILE(Data!S$4:S$195,3),3,4)))</f>
        <v>3</v>
      </c>
      <c r="T116" s="22">
        <f>IF(Data!T116&lt;=QUARTILE(Data!T$4:T$195,1),1,IF(Data!T116&lt;=MEDIAN(Data!T$4:T$195),2,IF(Data!T116&lt;=QUARTILE(Data!T$4:T$195,3),3,4)))</f>
        <v>4</v>
      </c>
      <c r="U116" s="25">
        <f>IF(Data!U116&lt;=QUARTILE(Data!U$4:U$195,1),1,IF(Data!U116&lt;=MEDIAN(Data!U$4:U$195),2,IF(Data!U116&lt;=QUARTILE(Data!U$4:U$195,3),3,4)))</f>
        <v>1</v>
      </c>
      <c r="V116" s="28">
        <f>IF(Data!V116&lt;=QUARTILE(Data!V$4:V$195,1),1,IF(Data!V116&lt;=MEDIAN(Data!V$4:V$195),2,IF(Data!V116&lt;=QUARTILE(Data!V$4:V$195,3),3,4)))</f>
        <v>2</v>
      </c>
      <c r="W116" s="28">
        <f>IF(Data!W116&lt;=QUARTILE(Data!W$4:W$195,1),1,IF(Data!W116&lt;=MEDIAN(Data!W$4:W$195),2,IF(Data!W116&lt;=QUARTILE(Data!W$4:W$195,3),3,4)))</f>
        <v>1</v>
      </c>
      <c r="X116" s="22">
        <f>IF(Data!X116&lt;=QUARTILE(Data!X$4:X$195,1),1,IF(Data!X116&lt;=MEDIAN(Data!X$4:X$195),2,IF(Data!X116&lt;=QUARTILE(Data!X$4:X$195,3),3,4)))</f>
        <v>1</v>
      </c>
      <c r="Y116" s="28">
        <f>IF(Data!Y116&lt;=QUARTILE(Data!Y$4:Y$195,1),1,IF(Data!Y116&lt;=MEDIAN(Data!Y$4:Y$195),2,IF(Data!Y116&lt;=QUARTILE(Data!Y$4:Y$195,3),3,4)))</f>
        <v>3</v>
      </c>
      <c r="Z116" s="22">
        <f>IF(Data!Z116&lt;=QUARTILE(Data!Z$4:Z$195,1),1,IF(Data!Z116&lt;=MEDIAN(Data!Z$4:Z$195),2,IF(Data!Z116&lt;=QUARTILE(Data!Z$4:Z$195,3),3,4)))</f>
        <v>1</v>
      </c>
      <c r="AA116" s="25">
        <f>IF(Data!AA116&lt;=QUARTILE(Data!AA$4:AA$195,1),1,IF(Data!AA116&lt;=MEDIAN(Data!AA$4:AA$195),2,IF(Data!AA116&lt;=QUARTILE(Data!AA$4:AA$195,3),3,4)))</f>
        <v>3</v>
      </c>
      <c r="AB116" s="22">
        <f>IF(Data!AB116&lt;=QUARTILE(Data!AB$4:AB$195,1),1,IF(Data!AB116&lt;=MEDIAN(Data!AB$4:AB$195),2,IF(Data!AB116&lt;=QUARTILE(Data!AB$4:AB$195,3),3,4)))</f>
        <v>3</v>
      </c>
      <c r="AC116" s="25">
        <f>IF(Data!AC116&lt;=QUARTILE(Data!AC$4:AC$195,1),1,IF(Data!AC116&lt;=MEDIAN(Data!AC$4:AC$195),2,IF(Data!AC116&lt;=QUARTILE(Data!AC$4:AC$195,3),3,4)))</f>
        <v>1</v>
      </c>
      <c r="AD116" s="22">
        <f>IF(Data!AD116&lt;=QUARTILE(Data!AD$4:AD$195,1),1,IF(Data!AD116&lt;=MEDIAN(Data!AD$4:AD$195),2,IF(Data!AD116&lt;=QUARTILE(Data!AD$4:AD$195,3),3,4)))</f>
        <v>1</v>
      </c>
      <c r="AE116" s="28">
        <f>IF(Data!AE116&lt;=QUARTILE(Data!AE$4:AE$195,1),1,IF(Data!AE116&lt;=MEDIAN(Data!AE$4:AE$195),2,IF(Data!AE116&lt;=QUARTILE(Data!AE$4:AE$195,3),3,4)))</f>
        <v>2</v>
      </c>
      <c r="AF116" s="28">
        <f>IF(Data!AF116&lt;=QUARTILE(Data!AF$4:AF$195,1),1,IF(Data!AF116&lt;=MEDIAN(Data!AF$4:AF$195),2,IF(Data!AF116&lt;=QUARTILE(Data!AF$4:AF$195,3),3,4)))</f>
        <v>2</v>
      </c>
      <c r="AG116" s="28">
        <f>IF(Data!AG116&lt;=QUARTILE(Data!AG$4:AG$195,1),1,IF(Data!AG116&lt;=MEDIAN(Data!AG$4:AG$195),2,IF(Data!AG116&lt;=QUARTILE(Data!AG$4:AG$195,3),3,4)))</f>
        <v>4</v>
      </c>
      <c r="AH116" s="22">
        <f>IF(Data!AH116&lt;=QUARTILE(Data!AH$4:AH$195,1),1,IF(Data!AH116&lt;=MEDIAN(Data!AH$4:AH$195),2,IF(Data!AH116&lt;=QUARTILE(Data!AH$4:AH$195,3),3,4)))</f>
        <v>3</v>
      </c>
      <c r="AI116" s="25">
        <f>IF(Data!AI116&lt;=QUARTILE(Data!AI$4:AI$195,1),1,IF(Data!AI116&lt;=MEDIAN(Data!AI$4:AI$195),2,IF(Data!AI116&lt;=QUARTILE(Data!AI$4:AI$195,3),3,4)))</f>
        <v>4</v>
      </c>
      <c r="AJ116" s="22">
        <f>IF(Data!AJ116&lt;=QUARTILE(Data!AJ$4:AJ$195,1),1,IF(Data!AJ116&lt;=MEDIAN(Data!AJ$4:AJ$195),2,IF(Data!AJ116&lt;=QUARTILE(Data!AJ$4:AJ$195,3),3,4)))</f>
        <v>4</v>
      </c>
      <c r="AK116" s="25">
        <f>IF(Data!AK116&lt;=QUARTILE(Data!AK$4:AK$195,1),1,IF(Data!AK116&lt;=MEDIAN(Data!AK$4:AK$195),2,IF(Data!AK116&lt;=QUARTILE(Data!AK$4:AK$195,3),3,4)))</f>
        <v>1</v>
      </c>
      <c r="AL116" s="28">
        <f>IF(Data!AL116&lt;=QUARTILE(Data!AL$4:AL$195,1),1,IF(Data!AL116&lt;=MEDIAN(Data!AL$4:AL$195),2,IF(Data!AL116&lt;=QUARTILE(Data!AL$4:AL$195,3),3,4)))</f>
        <v>1</v>
      </c>
      <c r="AM116" s="28">
        <f>IF(Data!AM116&lt;=QUARTILE(Data!AM$4:AM$195,1),1,IF(Data!AM116&lt;=MEDIAN(Data!AM$4:AM$195),2,IF(Data!AM116&lt;=QUARTILE(Data!AM$4:AM$195,3),3,4)))</f>
        <v>3</v>
      </c>
      <c r="AN116" s="22">
        <f>IF(Data!AN116&lt;=QUARTILE(Data!AN$4:AN$195,1),1,IF(Data!AN116&lt;=MEDIAN(Data!AN$4:AN$195),2,IF(Data!AN116&lt;=QUARTILE(Data!AN$4:AN$195,3),3,4)))</f>
        <v>1</v>
      </c>
      <c r="AO116" s="28">
        <f>IF(Data!AO116&lt;=QUARTILE(Data!AO$4:AO$195,1),1,IF(Data!AO116&lt;=MEDIAN(Data!AO$4:AO$195),2,IF(Data!AO116&lt;=QUARTILE(Data!AO$4:AO$195,3),3,4)))</f>
        <v>1</v>
      </c>
      <c r="AP116" s="28">
        <f>IF(Data!AP116&lt;=QUARTILE(Data!AP$4:AP$195,1),1,IF(Data!AP116&lt;=MEDIAN(Data!AP$4:AP$195),2,IF(Data!AP116&lt;=QUARTILE(Data!AP$4:AP$195,3),3,4)))</f>
        <v>2</v>
      </c>
      <c r="AQ116" s="28">
        <f>IF(Data!AQ116&lt;=QUARTILE(Data!AQ$4:AQ$195,1),1,IF(Data!AQ116&lt;=MEDIAN(Data!AQ$4:AQ$195),2,IF(Data!AQ116&lt;=QUARTILE(Data!AQ$4:AQ$195,3),3,4)))</f>
        <v>1</v>
      </c>
      <c r="AR116" s="28">
        <f>IF(Data!AR116&lt;=QUARTILE(Data!AR$4:AR$195,1),1,IF(Data!AR116&lt;=MEDIAN(Data!AR$4:AR$195),2,IF(Data!AR116&lt;=QUARTILE(Data!AR$4:AR$195,3),3,4)))</f>
        <v>3</v>
      </c>
      <c r="AS116" s="28">
        <f>IF(Data!AS116&lt;=QUARTILE(Data!AS$4:AS$195,1),1,IF(Data!AS116&lt;=MEDIAN(Data!AS$4:AS$195),2,IF(Data!AS116&lt;=QUARTILE(Data!AS$4:AS$195,3),3,4)))</f>
        <v>2</v>
      </c>
      <c r="AT116" s="28">
        <f>IF(Data!AT116&lt;=QUARTILE(Data!AT$4:AT$195,1),1,IF(Data!AT116&lt;=MEDIAN(Data!AT$4:AT$195),2,IF(Data!AT116&lt;=QUARTILE(Data!AT$4:AT$195,3),3,4)))</f>
        <v>4</v>
      </c>
      <c r="AU116" s="22">
        <f>IF(Data!AU116&lt;=QUARTILE(Data!AU$4:AU$195,1),1,IF(Data!AU116&lt;=MEDIAN(Data!AU$4:AU$195),2,IF(Data!AU116&lt;=QUARTILE(Data!AU$4:AU$195,3),3,4)))</f>
        <v>4</v>
      </c>
      <c r="AV116" s="25">
        <f>IF(Data!AV116&lt;=QUARTILE(Data!AV$4:AV$195,1),1,IF(Data!AV116&lt;=MEDIAN(Data!AV$4:AV$195),2,IF(Data!AV116&lt;=QUARTILE(Data!AV$4:AV$195,3),3,4)))</f>
        <v>3</v>
      </c>
      <c r="AW116" s="28">
        <f>IF(Data!AW116&lt;=QUARTILE(Data!AW$4:AW$195,1),1,IF(Data!AW116&lt;=MEDIAN(Data!AW$4:AW$195),2,IF(Data!AW116&lt;=QUARTILE(Data!AW$4:AW$195,3),3,4)))</f>
        <v>2</v>
      </c>
      <c r="AX116" s="28">
        <f>IF(Data!AX116&lt;=QUARTILE(Data!AX$4:AX$195,1),1,IF(Data!AX116&lt;=MEDIAN(Data!AX$4:AX$195),2,IF(Data!AX116&lt;=QUARTILE(Data!AX$4:AX$195,3),3,4)))</f>
        <v>1</v>
      </c>
      <c r="AY116" s="22">
        <f>IF(Data!AY116&lt;=QUARTILE(Data!AY$4:AY$195,1),1,IF(Data!AY116&lt;=MEDIAN(Data!AY$4:AY$195),2,IF(Data!AY116&lt;=QUARTILE(Data!AY$4:AY$195,3),3,4)))</f>
        <v>1</v>
      </c>
      <c r="AZ116" s="25">
        <f>IF(Data!AZ116&lt;=QUARTILE(Data!AZ$4:AZ$195,1),1,IF(Data!AZ116&lt;=MEDIAN(Data!AZ$4:AZ$195),2,IF(Data!AZ116&lt;=QUARTILE(Data!AZ$4:AZ$195,3),3,4)))</f>
        <v>1</v>
      </c>
      <c r="BA116" s="22">
        <f>IF(Data!BA116&lt;=QUARTILE(Data!BA$4:BA$195,1),1,IF(Data!BA116&lt;=MEDIAN(Data!BA$4:BA$195),2,IF(Data!BA116&lt;=QUARTILE(Data!BA$4:BA$195,3),3,4)))</f>
        <v>4</v>
      </c>
    </row>
    <row r="117" spans="1:53" x14ac:dyDescent="0.25">
      <c r="A117" s="4" t="s">
        <v>23</v>
      </c>
      <c r="B117" s="40">
        <v>2006</v>
      </c>
      <c r="C117" s="25">
        <v>6</v>
      </c>
      <c r="D117" s="28">
        <v>10</v>
      </c>
      <c r="E117" s="77" t="s">
        <v>96</v>
      </c>
      <c r="F117" s="28">
        <v>-4.0999999999999996</v>
      </c>
      <c r="G117" s="28">
        <v>-3.7</v>
      </c>
      <c r="H117" s="22">
        <v>-0.4</v>
      </c>
      <c r="I117" s="25">
        <f>IF(Data!I117&lt;=QUARTILE(Data!I$4:I$195,1),1,IF(Data!I117&lt;=MEDIAN(Data!I$4:I$195),2,IF(Data!I117&lt;=QUARTILE(Data!I$4:I$195,3),3,4)))</f>
        <v>1</v>
      </c>
      <c r="J117" s="28">
        <f>IF(Data!J117&lt;=QUARTILE(Data!J$4:J$195,1),1,IF(Data!J117&lt;=MEDIAN(Data!J$4:J$195),2,IF(Data!J117&lt;=QUARTILE(Data!J$4:J$195,3),3,4)))</f>
        <v>2</v>
      </c>
      <c r="K117" s="28">
        <f>IF(Data!K117&lt;=QUARTILE(Data!K$4:K$195,1),1,IF(Data!K117&lt;=MEDIAN(Data!K$4:K$195),2,IF(Data!K117&lt;=QUARTILE(Data!K$4:K$195,3),3,4)))</f>
        <v>3</v>
      </c>
      <c r="L117" s="22">
        <f>IF(Data!L117&lt;=QUARTILE(Data!L$4:L$195,1),1,IF(Data!L117&lt;=MEDIAN(Data!L$4:L$195),2,IF(Data!L117&lt;=QUARTILE(Data!L$4:L$195,3),3,4)))</f>
        <v>1</v>
      </c>
      <c r="M117" s="28">
        <f>IF(Data!M117&lt;=QUARTILE(Data!M$4:M$195,1),1,IF(Data!M117&lt;=MEDIAN(Data!M$4:M$195),2,IF(Data!M117&lt;=QUARTILE(Data!M$4:M$195,3),3,4)))</f>
        <v>3</v>
      </c>
      <c r="N117" s="28">
        <f>IF(Data!N117&lt;=QUARTILE(Data!N$4:N$195,1),1,IF(Data!N117&lt;=MEDIAN(Data!N$4:N$195),2,IF(Data!N117&lt;=QUARTILE(Data!N$4:N$195,3),3,4)))</f>
        <v>3</v>
      </c>
      <c r="O117" s="28">
        <f>IF(Data!O117&lt;=QUARTILE(Data!O$4:O$195,1),1,IF(Data!O117&lt;=MEDIAN(Data!O$4:O$195),2,IF(Data!O117&lt;=QUARTILE(Data!O$4:O$195,3),3,4)))</f>
        <v>2</v>
      </c>
      <c r="P117" s="28">
        <f>IF(Data!P117&lt;=QUARTILE(Data!P$4:P$195,1),1,IF(Data!P117&lt;=MEDIAN(Data!P$4:P$195),2,IF(Data!P117&lt;=QUARTILE(Data!P$4:P$195,3),3,4)))</f>
        <v>1</v>
      </c>
      <c r="Q117" s="28">
        <f>IF(Data!Q117&lt;=QUARTILE(Data!Q$4:Q$195,1),1,IF(Data!Q117&lt;=MEDIAN(Data!Q$4:Q$195),2,IF(Data!Q117&lt;=QUARTILE(Data!Q$4:Q$195,3),3,4)))</f>
        <v>2</v>
      </c>
      <c r="R117" s="28">
        <f>IF(Data!R117&lt;=QUARTILE(Data!R$4:R$195,1),1,IF(Data!R117&lt;=MEDIAN(Data!R$4:R$195),2,IF(Data!R117&lt;=QUARTILE(Data!R$4:R$195,3),3,4)))</f>
        <v>1</v>
      </c>
      <c r="S117" s="28">
        <f>IF(Data!S117&lt;=QUARTILE(Data!S$4:S$195,1),1,IF(Data!S117&lt;=MEDIAN(Data!S$4:S$195),2,IF(Data!S117&lt;=QUARTILE(Data!S$4:S$195,3),3,4)))</f>
        <v>3</v>
      </c>
      <c r="T117" s="22">
        <f>IF(Data!T117&lt;=QUARTILE(Data!T$4:T$195,1),1,IF(Data!T117&lt;=MEDIAN(Data!T$4:T$195),2,IF(Data!T117&lt;=QUARTILE(Data!T$4:T$195,3),3,4)))</f>
        <v>3</v>
      </c>
      <c r="U117" s="25">
        <f>IF(Data!U117&lt;=QUARTILE(Data!U$4:U$195,1),1,IF(Data!U117&lt;=MEDIAN(Data!U$4:U$195),2,IF(Data!U117&lt;=QUARTILE(Data!U$4:U$195,3),3,4)))</f>
        <v>3</v>
      </c>
      <c r="V117" s="28">
        <f>IF(Data!V117&lt;=QUARTILE(Data!V$4:V$195,1),1,IF(Data!V117&lt;=MEDIAN(Data!V$4:V$195),2,IF(Data!V117&lt;=QUARTILE(Data!V$4:V$195,3),3,4)))</f>
        <v>3</v>
      </c>
      <c r="W117" s="28">
        <f>IF(Data!W117&lt;=QUARTILE(Data!W$4:W$195,1),1,IF(Data!W117&lt;=MEDIAN(Data!W$4:W$195),2,IF(Data!W117&lt;=QUARTILE(Data!W$4:W$195,3),3,4)))</f>
        <v>2</v>
      </c>
      <c r="X117" s="22">
        <f>IF(Data!X117&lt;=QUARTILE(Data!X$4:X$195,1),1,IF(Data!X117&lt;=MEDIAN(Data!X$4:X$195),2,IF(Data!X117&lt;=QUARTILE(Data!X$4:X$195,3),3,4)))</f>
        <v>2</v>
      </c>
      <c r="Y117" s="28">
        <f>IF(Data!Y117&lt;=QUARTILE(Data!Y$4:Y$195,1),1,IF(Data!Y117&lt;=MEDIAN(Data!Y$4:Y$195),2,IF(Data!Y117&lt;=QUARTILE(Data!Y$4:Y$195,3),3,4)))</f>
        <v>4</v>
      </c>
      <c r="Z117" s="22">
        <f>IF(Data!Z117&lt;=QUARTILE(Data!Z$4:Z$195,1),1,IF(Data!Z117&lt;=MEDIAN(Data!Z$4:Z$195),2,IF(Data!Z117&lt;=QUARTILE(Data!Z$4:Z$195,3),3,4)))</f>
        <v>2</v>
      </c>
      <c r="AA117" s="25">
        <f>IF(Data!AA117&lt;=QUARTILE(Data!AA$4:AA$195,1),1,IF(Data!AA117&lt;=MEDIAN(Data!AA$4:AA$195),2,IF(Data!AA117&lt;=QUARTILE(Data!AA$4:AA$195,3),3,4)))</f>
        <v>3</v>
      </c>
      <c r="AB117" s="22">
        <f>IF(Data!AB117&lt;=QUARTILE(Data!AB$4:AB$195,1),1,IF(Data!AB117&lt;=MEDIAN(Data!AB$4:AB$195),2,IF(Data!AB117&lt;=QUARTILE(Data!AB$4:AB$195,3),3,4)))</f>
        <v>3</v>
      </c>
      <c r="AC117" s="25">
        <f>IF(Data!AC117&lt;=QUARTILE(Data!AC$4:AC$195,1),1,IF(Data!AC117&lt;=MEDIAN(Data!AC$4:AC$195),2,IF(Data!AC117&lt;=QUARTILE(Data!AC$4:AC$195,3),3,4)))</f>
        <v>3</v>
      </c>
      <c r="AD117" s="22">
        <f>IF(Data!AD117&lt;=QUARTILE(Data!AD$4:AD$195,1),1,IF(Data!AD117&lt;=MEDIAN(Data!AD$4:AD$195),2,IF(Data!AD117&lt;=QUARTILE(Data!AD$4:AD$195,3),3,4)))</f>
        <v>3</v>
      </c>
      <c r="AE117" s="28">
        <f>IF(Data!AE117&lt;=QUARTILE(Data!AE$4:AE$195,1),1,IF(Data!AE117&lt;=MEDIAN(Data!AE$4:AE$195),2,IF(Data!AE117&lt;=QUARTILE(Data!AE$4:AE$195,3),3,4)))</f>
        <v>2</v>
      </c>
      <c r="AF117" s="28">
        <f>IF(Data!AF117&lt;=QUARTILE(Data!AF$4:AF$195,1),1,IF(Data!AF117&lt;=MEDIAN(Data!AF$4:AF$195),2,IF(Data!AF117&lt;=QUARTILE(Data!AF$4:AF$195,3),3,4)))</f>
        <v>3</v>
      </c>
      <c r="AG117" s="28">
        <f>IF(Data!AG117&lt;=QUARTILE(Data!AG$4:AG$195,1),1,IF(Data!AG117&lt;=MEDIAN(Data!AG$4:AG$195),2,IF(Data!AG117&lt;=QUARTILE(Data!AG$4:AG$195,3),3,4)))</f>
        <v>1</v>
      </c>
      <c r="AH117" s="22">
        <f>IF(Data!AH117&lt;=QUARTILE(Data!AH$4:AH$195,1),1,IF(Data!AH117&lt;=MEDIAN(Data!AH$4:AH$195),2,IF(Data!AH117&lt;=QUARTILE(Data!AH$4:AH$195,3),3,4)))</f>
        <v>1</v>
      </c>
      <c r="AI117" s="25">
        <f>IF(Data!AI117&lt;=QUARTILE(Data!AI$4:AI$195,1),1,IF(Data!AI117&lt;=MEDIAN(Data!AI$4:AI$195),2,IF(Data!AI117&lt;=QUARTILE(Data!AI$4:AI$195,3),3,4)))</f>
        <v>4</v>
      </c>
      <c r="AJ117" s="22">
        <f>IF(Data!AJ117&lt;=QUARTILE(Data!AJ$4:AJ$195,1),1,IF(Data!AJ117&lt;=MEDIAN(Data!AJ$4:AJ$195),2,IF(Data!AJ117&lt;=QUARTILE(Data!AJ$4:AJ$195,3),3,4)))</f>
        <v>4</v>
      </c>
      <c r="AK117" s="25">
        <f>IF(Data!AK117&lt;=QUARTILE(Data!AK$4:AK$195,1),1,IF(Data!AK117&lt;=MEDIAN(Data!AK$4:AK$195),2,IF(Data!AK117&lt;=QUARTILE(Data!AK$4:AK$195,3),3,4)))</f>
        <v>2</v>
      </c>
      <c r="AL117" s="28">
        <f>IF(Data!AL117&lt;=QUARTILE(Data!AL$4:AL$195,1),1,IF(Data!AL117&lt;=MEDIAN(Data!AL$4:AL$195),2,IF(Data!AL117&lt;=QUARTILE(Data!AL$4:AL$195,3),3,4)))</f>
        <v>1</v>
      </c>
      <c r="AM117" s="28">
        <f>IF(Data!AM117&lt;=QUARTILE(Data!AM$4:AM$195,1),1,IF(Data!AM117&lt;=MEDIAN(Data!AM$4:AM$195),2,IF(Data!AM117&lt;=QUARTILE(Data!AM$4:AM$195,3),3,4)))</f>
        <v>2</v>
      </c>
      <c r="AN117" s="22">
        <f>IF(Data!AN117&lt;=QUARTILE(Data!AN$4:AN$195,1),1,IF(Data!AN117&lt;=MEDIAN(Data!AN$4:AN$195),2,IF(Data!AN117&lt;=QUARTILE(Data!AN$4:AN$195,3),3,4)))</f>
        <v>1</v>
      </c>
      <c r="AO117" s="28">
        <f>IF(Data!AO117&lt;=QUARTILE(Data!AO$4:AO$195,1),1,IF(Data!AO117&lt;=MEDIAN(Data!AO$4:AO$195),2,IF(Data!AO117&lt;=QUARTILE(Data!AO$4:AO$195,3),3,4)))</f>
        <v>4</v>
      </c>
      <c r="AP117" s="28">
        <f>IF(Data!AP117&lt;=QUARTILE(Data!AP$4:AP$195,1),1,IF(Data!AP117&lt;=MEDIAN(Data!AP$4:AP$195),2,IF(Data!AP117&lt;=QUARTILE(Data!AP$4:AP$195,3),3,4)))</f>
        <v>4</v>
      </c>
      <c r="AQ117" s="28">
        <f>IF(Data!AQ117&lt;=QUARTILE(Data!AQ$4:AQ$195,1),1,IF(Data!AQ117&lt;=MEDIAN(Data!AQ$4:AQ$195),2,IF(Data!AQ117&lt;=QUARTILE(Data!AQ$4:AQ$195,3),3,4)))</f>
        <v>4</v>
      </c>
      <c r="AR117" s="28">
        <f>IF(Data!AR117&lt;=QUARTILE(Data!AR$4:AR$195,1),1,IF(Data!AR117&lt;=MEDIAN(Data!AR$4:AR$195),2,IF(Data!AR117&lt;=QUARTILE(Data!AR$4:AR$195,3),3,4)))</f>
        <v>1</v>
      </c>
      <c r="AS117" s="28">
        <f>IF(Data!AS117&lt;=QUARTILE(Data!AS$4:AS$195,1),1,IF(Data!AS117&lt;=MEDIAN(Data!AS$4:AS$195),2,IF(Data!AS117&lt;=QUARTILE(Data!AS$4:AS$195,3),3,4)))</f>
        <v>4</v>
      </c>
      <c r="AT117" s="28">
        <f>IF(Data!AT117&lt;=QUARTILE(Data!AT$4:AT$195,1),1,IF(Data!AT117&lt;=MEDIAN(Data!AT$4:AT$195),2,IF(Data!AT117&lt;=QUARTILE(Data!AT$4:AT$195,3),3,4)))</f>
        <v>1</v>
      </c>
      <c r="AU117" s="22">
        <f>IF(Data!AU117&lt;=QUARTILE(Data!AU$4:AU$195,1),1,IF(Data!AU117&lt;=MEDIAN(Data!AU$4:AU$195),2,IF(Data!AU117&lt;=QUARTILE(Data!AU$4:AU$195,3),3,4)))</f>
        <v>2</v>
      </c>
      <c r="AV117" s="25">
        <f>IF(Data!AV117&lt;=QUARTILE(Data!AV$4:AV$195,1),1,IF(Data!AV117&lt;=MEDIAN(Data!AV$4:AV$195),2,IF(Data!AV117&lt;=QUARTILE(Data!AV$4:AV$195,3),3,4)))</f>
        <v>1</v>
      </c>
      <c r="AW117" s="28">
        <f>IF(Data!AW117&lt;=QUARTILE(Data!AW$4:AW$195,1),1,IF(Data!AW117&lt;=MEDIAN(Data!AW$4:AW$195),2,IF(Data!AW117&lt;=QUARTILE(Data!AW$4:AW$195,3),3,4)))</f>
        <v>1</v>
      </c>
      <c r="AX117" s="28">
        <f>IF(Data!AX117&lt;=QUARTILE(Data!AX$4:AX$195,1),1,IF(Data!AX117&lt;=MEDIAN(Data!AX$4:AX$195),2,IF(Data!AX117&lt;=QUARTILE(Data!AX$4:AX$195,3),3,4)))</f>
        <v>1</v>
      </c>
      <c r="AY117" s="22">
        <f>IF(Data!AY117&lt;=QUARTILE(Data!AY$4:AY$195,1),1,IF(Data!AY117&lt;=MEDIAN(Data!AY$4:AY$195),2,IF(Data!AY117&lt;=QUARTILE(Data!AY$4:AY$195,3),3,4)))</f>
        <v>1</v>
      </c>
      <c r="AZ117" s="25">
        <f>IF(Data!AZ117&lt;=QUARTILE(Data!AZ$4:AZ$195,1),1,IF(Data!AZ117&lt;=MEDIAN(Data!AZ$4:AZ$195),2,IF(Data!AZ117&lt;=QUARTILE(Data!AZ$4:AZ$195,3),3,4)))</f>
        <v>4</v>
      </c>
      <c r="BA117" s="22">
        <f>IF(Data!BA117&lt;=QUARTILE(Data!BA$4:BA$195,1),1,IF(Data!BA117&lt;=MEDIAN(Data!BA$4:BA$195),2,IF(Data!BA117&lt;=QUARTILE(Data!BA$4:BA$195,3),3,4)))</f>
        <v>4</v>
      </c>
    </row>
    <row r="118" spans="1:53" x14ac:dyDescent="0.25">
      <c r="A118" s="4" t="s">
        <v>3</v>
      </c>
      <c r="B118" s="40">
        <v>2006</v>
      </c>
      <c r="C118" s="25">
        <v>12</v>
      </c>
      <c r="D118" s="28">
        <v>4</v>
      </c>
      <c r="E118" s="77" t="s">
        <v>97</v>
      </c>
      <c r="F118" s="28">
        <v>10.199999999999999</v>
      </c>
      <c r="G118" s="28">
        <v>4.3</v>
      </c>
      <c r="H118" s="22">
        <v>5.9</v>
      </c>
      <c r="I118" s="25">
        <f>IF(Data!I118&lt;=QUARTILE(Data!I$4:I$195,1),1,IF(Data!I118&lt;=MEDIAN(Data!I$4:I$195),2,IF(Data!I118&lt;=QUARTILE(Data!I$4:I$195,3),3,4)))</f>
        <v>3</v>
      </c>
      <c r="J118" s="28">
        <f>IF(Data!J118&lt;=QUARTILE(Data!J$4:J$195,1),1,IF(Data!J118&lt;=MEDIAN(Data!J$4:J$195),2,IF(Data!J118&lt;=QUARTILE(Data!J$4:J$195,3),3,4)))</f>
        <v>3</v>
      </c>
      <c r="K118" s="28">
        <f>IF(Data!K118&lt;=QUARTILE(Data!K$4:K$195,1),1,IF(Data!K118&lt;=MEDIAN(Data!K$4:K$195),2,IF(Data!K118&lt;=QUARTILE(Data!K$4:K$195,3),3,4)))</f>
        <v>4</v>
      </c>
      <c r="L118" s="22">
        <f>IF(Data!L118&lt;=QUARTILE(Data!L$4:L$195,1),1,IF(Data!L118&lt;=MEDIAN(Data!L$4:L$195),2,IF(Data!L118&lt;=QUARTILE(Data!L$4:L$195,3),3,4)))</f>
        <v>4</v>
      </c>
      <c r="M118" s="28">
        <f>IF(Data!M118&lt;=QUARTILE(Data!M$4:M$195,1),1,IF(Data!M118&lt;=MEDIAN(Data!M$4:M$195),2,IF(Data!M118&lt;=QUARTILE(Data!M$4:M$195,3),3,4)))</f>
        <v>3</v>
      </c>
      <c r="N118" s="28">
        <f>IF(Data!N118&lt;=QUARTILE(Data!N$4:N$195,1),1,IF(Data!N118&lt;=MEDIAN(Data!N$4:N$195),2,IF(Data!N118&lt;=QUARTILE(Data!N$4:N$195,3),3,4)))</f>
        <v>3</v>
      </c>
      <c r="O118" s="28">
        <f>IF(Data!O118&lt;=QUARTILE(Data!O$4:O$195,1),1,IF(Data!O118&lt;=MEDIAN(Data!O$4:O$195),2,IF(Data!O118&lt;=QUARTILE(Data!O$4:O$195,3),3,4)))</f>
        <v>3</v>
      </c>
      <c r="P118" s="28">
        <f>IF(Data!P118&lt;=QUARTILE(Data!P$4:P$195,1),1,IF(Data!P118&lt;=MEDIAN(Data!P$4:P$195),2,IF(Data!P118&lt;=QUARTILE(Data!P$4:P$195,3),3,4)))</f>
        <v>3</v>
      </c>
      <c r="Q118" s="28">
        <f>IF(Data!Q118&lt;=QUARTILE(Data!Q$4:Q$195,1),1,IF(Data!Q118&lt;=MEDIAN(Data!Q$4:Q$195),2,IF(Data!Q118&lt;=QUARTILE(Data!Q$4:Q$195,3),3,4)))</f>
        <v>3</v>
      </c>
      <c r="R118" s="28">
        <f>IF(Data!R118&lt;=QUARTILE(Data!R$4:R$195,1),1,IF(Data!R118&lt;=MEDIAN(Data!R$4:R$195),2,IF(Data!R118&lt;=QUARTILE(Data!R$4:R$195,3),3,4)))</f>
        <v>3</v>
      </c>
      <c r="S118" s="28">
        <f>IF(Data!S118&lt;=QUARTILE(Data!S$4:S$195,1),1,IF(Data!S118&lt;=MEDIAN(Data!S$4:S$195),2,IF(Data!S118&lt;=QUARTILE(Data!S$4:S$195,3),3,4)))</f>
        <v>2</v>
      </c>
      <c r="T118" s="22">
        <f>IF(Data!T118&lt;=QUARTILE(Data!T$4:T$195,1),1,IF(Data!T118&lt;=MEDIAN(Data!T$4:T$195),2,IF(Data!T118&lt;=QUARTILE(Data!T$4:T$195,3),3,4)))</f>
        <v>2</v>
      </c>
      <c r="U118" s="25">
        <f>IF(Data!U118&lt;=QUARTILE(Data!U$4:U$195,1),1,IF(Data!U118&lt;=MEDIAN(Data!U$4:U$195),2,IF(Data!U118&lt;=QUARTILE(Data!U$4:U$195,3),3,4)))</f>
        <v>4</v>
      </c>
      <c r="V118" s="28">
        <f>IF(Data!V118&lt;=QUARTILE(Data!V$4:V$195,1),1,IF(Data!V118&lt;=MEDIAN(Data!V$4:V$195),2,IF(Data!V118&lt;=QUARTILE(Data!V$4:V$195,3),3,4)))</f>
        <v>3</v>
      </c>
      <c r="W118" s="28">
        <f>IF(Data!W118&lt;=QUARTILE(Data!W$4:W$195,1),1,IF(Data!W118&lt;=MEDIAN(Data!W$4:W$195),2,IF(Data!W118&lt;=QUARTILE(Data!W$4:W$195,3),3,4)))</f>
        <v>4</v>
      </c>
      <c r="X118" s="22">
        <f>IF(Data!X118&lt;=QUARTILE(Data!X$4:X$195,1),1,IF(Data!X118&lt;=MEDIAN(Data!X$4:X$195),2,IF(Data!X118&lt;=QUARTILE(Data!X$4:X$195,3),3,4)))</f>
        <v>4</v>
      </c>
      <c r="Y118" s="28">
        <f>IF(Data!Y118&lt;=QUARTILE(Data!Y$4:Y$195,1),1,IF(Data!Y118&lt;=MEDIAN(Data!Y$4:Y$195),2,IF(Data!Y118&lt;=QUARTILE(Data!Y$4:Y$195,3),3,4)))</f>
        <v>1</v>
      </c>
      <c r="Z118" s="22">
        <f>IF(Data!Z118&lt;=QUARTILE(Data!Z$4:Z$195,1),1,IF(Data!Z118&lt;=MEDIAN(Data!Z$4:Z$195),2,IF(Data!Z118&lt;=QUARTILE(Data!Z$4:Z$195,3),3,4)))</f>
        <v>3</v>
      </c>
      <c r="AA118" s="25">
        <f>IF(Data!AA118&lt;=QUARTILE(Data!AA$4:AA$195,1),1,IF(Data!AA118&lt;=MEDIAN(Data!AA$4:AA$195),2,IF(Data!AA118&lt;=QUARTILE(Data!AA$4:AA$195,3),3,4)))</f>
        <v>2</v>
      </c>
      <c r="AB118" s="22">
        <f>IF(Data!AB118&lt;=QUARTILE(Data!AB$4:AB$195,1),1,IF(Data!AB118&lt;=MEDIAN(Data!AB$4:AB$195),2,IF(Data!AB118&lt;=QUARTILE(Data!AB$4:AB$195,3),3,4)))</f>
        <v>4</v>
      </c>
      <c r="AC118" s="25">
        <f>IF(Data!AC118&lt;=QUARTILE(Data!AC$4:AC$195,1),1,IF(Data!AC118&lt;=MEDIAN(Data!AC$4:AC$195),2,IF(Data!AC118&lt;=QUARTILE(Data!AC$4:AC$195,3),3,4)))</f>
        <v>1</v>
      </c>
      <c r="AD118" s="22">
        <f>IF(Data!AD118&lt;=QUARTILE(Data!AD$4:AD$195,1),1,IF(Data!AD118&lt;=MEDIAN(Data!AD$4:AD$195),2,IF(Data!AD118&lt;=QUARTILE(Data!AD$4:AD$195,3),3,4)))</f>
        <v>3</v>
      </c>
      <c r="AE118" s="28">
        <f>IF(Data!AE118&lt;=QUARTILE(Data!AE$4:AE$195,1),1,IF(Data!AE118&lt;=MEDIAN(Data!AE$4:AE$195),2,IF(Data!AE118&lt;=QUARTILE(Data!AE$4:AE$195,3),3,4)))</f>
        <v>4</v>
      </c>
      <c r="AF118" s="28">
        <f>IF(Data!AF118&lt;=QUARTILE(Data!AF$4:AF$195,1),1,IF(Data!AF118&lt;=MEDIAN(Data!AF$4:AF$195),2,IF(Data!AF118&lt;=QUARTILE(Data!AF$4:AF$195,3),3,4)))</f>
        <v>3</v>
      </c>
      <c r="AG118" s="28">
        <f>IF(Data!AG118&lt;=QUARTILE(Data!AG$4:AG$195,1),1,IF(Data!AG118&lt;=MEDIAN(Data!AG$4:AG$195),2,IF(Data!AG118&lt;=QUARTILE(Data!AG$4:AG$195,3),3,4)))</f>
        <v>1</v>
      </c>
      <c r="AH118" s="22">
        <f>IF(Data!AH118&lt;=QUARTILE(Data!AH$4:AH$195,1),1,IF(Data!AH118&lt;=MEDIAN(Data!AH$4:AH$195),2,IF(Data!AH118&lt;=QUARTILE(Data!AH$4:AH$195,3),3,4)))</f>
        <v>1</v>
      </c>
      <c r="AI118" s="25">
        <f>IF(Data!AI118&lt;=QUARTILE(Data!AI$4:AI$195,1),1,IF(Data!AI118&lt;=MEDIAN(Data!AI$4:AI$195),2,IF(Data!AI118&lt;=QUARTILE(Data!AI$4:AI$195,3),3,4)))</f>
        <v>2</v>
      </c>
      <c r="AJ118" s="22">
        <f>IF(Data!AJ118&lt;=QUARTILE(Data!AJ$4:AJ$195,1),1,IF(Data!AJ118&lt;=MEDIAN(Data!AJ$4:AJ$195),2,IF(Data!AJ118&lt;=QUARTILE(Data!AJ$4:AJ$195,3),3,4)))</f>
        <v>2</v>
      </c>
      <c r="AK118" s="25">
        <f>IF(Data!AK118&lt;=QUARTILE(Data!AK$4:AK$195,1),1,IF(Data!AK118&lt;=MEDIAN(Data!AK$4:AK$195),2,IF(Data!AK118&lt;=QUARTILE(Data!AK$4:AK$195,3),3,4)))</f>
        <v>1</v>
      </c>
      <c r="AL118" s="28">
        <f>IF(Data!AL118&lt;=QUARTILE(Data!AL$4:AL$195,1),1,IF(Data!AL118&lt;=MEDIAN(Data!AL$4:AL$195),2,IF(Data!AL118&lt;=QUARTILE(Data!AL$4:AL$195,3),3,4)))</f>
        <v>1</v>
      </c>
      <c r="AM118" s="28">
        <f>IF(Data!AM118&lt;=QUARTILE(Data!AM$4:AM$195,1),1,IF(Data!AM118&lt;=MEDIAN(Data!AM$4:AM$195),2,IF(Data!AM118&lt;=QUARTILE(Data!AM$4:AM$195,3),3,4)))</f>
        <v>1</v>
      </c>
      <c r="AN118" s="22">
        <f>IF(Data!AN118&lt;=QUARTILE(Data!AN$4:AN$195,1),1,IF(Data!AN118&lt;=MEDIAN(Data!AN$4:AN$195),2,IF(Data!AN118&lt;=QUARTILE(Data!AN$4:AN$195,3),3,4)))</f>
        <v>1</v>
      </c>
      <c r="AO118" s="28">
        <f>IF(Data!AO118&lt;=QUARTILE(Data!AO$4:AO$195,1),1,IF(Data!AO118&lt;=MEDIAN(Data!AO$4:AO$195),2,IF(Data!AO118&lt;=QUARTILE(Data!AO$4:AO$195,3),3,4)))</f>
        <v>2</v>
      </c>
      <c r="AP118" s="28">
        <f>IF(Data!AP118&lt;=QUARTILE(Data!AP$4:AP$195,1),1,IF(Data!AP118&lt;=MEDIAN(Data!AP$4:AP$195),2,IF(Data!AP118&lt;=QUARTILE(Data!AP$4:AP$195,3),3,4)))</f>
        <v>2</v>
      </c>
      <c r="AQ118" s="28">
        <f>IF(Data!AQ118&lt;=QUARTILE(Data!AQ$4:AQ$195,1),1,IF(Data!AQ118&lt;=MEDIAN(Data!AQ$4:AQ$195),2,IF(Data!AQ118&lt;=QUARTILE(Data!AQ$4:AQ$195,3),3,4)))</f>
        <v>2</v>
      </c>
      <c r="AR118" s="28">
        <f>IF(Data!AR118&lt;=QUARTILE(Data!AR$4:AR$195,1),1,IF(Data!AR118&lt;=MEDIAN(Data!AR$4:AR$195),2,IF(Data!AR118&lt;=QUARTILE(Data!AR$4:AR$195,3),3,4)))</f>
        <v>1</v>
      </c>
      <c r="AS118" s="28">
        <f>IF(Data!AS118&lt;=QUARTILE(Data!AS$4:AS$195,1),1,IF(Data!AS118&lt;=MEDIAN(Data!AS$4:AS$195),2,IF(Data!AS118&lt;=QUARTILE(Data!AS$4:AS$195,3),3,4)))</f>
        <v>2</v>
      </c>
      <c r="AT118" s="28">
        <f>IF(Data!AT118&lt;=QUARTILE(Data!AT$4:AT$195,1),1,IF(Data!AT118&lt;=MEDIAN(Data!AT$4:AT$195),2,IF(Data!AT118&lt;=QUARTILE(Data!AT$4:AT$195,3),3,4)))</f>
        <v>4</v>
      </c>
      <c r="AU118" s="22">
        <f>IF(Data!AU118&lt;=QUARTILE(Data!AU$4:AU$195,1),1,IF(Data!AU118&lt;=MEDIAN(Data!AU$4:AU$195),2,IF(Data!AU118&lt;=QUARTILE(Data!AU$4:AU$195,3),3,4)))</f>
        <v>4</v>
      </c>
      <c r="AV118" s="25">
        <f>IF(Data!AV118&lt;=QUARTILE(Data!AV$4:AV$195,1),1,IF(Data!AV118&lt;=MEDIAN(Data!AV$4:AV$195),2,IF(Data!AV118&lt;=QUARTILE(Data!AV$4:AV$195,3),3,4)))</f>
        <v>1</v>
      </c>
      <c r="AW118" s="28">
        <f>IF(Data!AW118&lt;=QUARTILE(Data!AW$4:AW$195,1),1,IF(Data!AW118&lt;=MEDIAN(Data!AW$4:AW$195),2,IF(Data!AW118&lt;=QUARTILE(Data!AW$4:AW$195,3),3,4)))</f>
        <v>1</v>
      </c>
      <c r="AX118" s="28">
        <f>IF(Data!AX118&lt;=QUARTILE(Data!AX$4:AX$195,1),1,IF(Data!AX118&lt;=MEDIAN(Data!AX$4:AX$195),2,IF(Data!AX118&lt;=QUARTILE(Data!AX$4:AX$195,3),3,4)))</f>
        <v>2</v>
      </c>
      <c r="AY118" s="22">
        <f>IF(Data!AY118&lt;=QUARTILE(Data!AY$4:AY$195,1),1,IF(Data!AY118&lt;=MEDIAN(Data!AY$4:AY$195),2,IF(Data!AY118&lt;=QUARTILE(Data!AY$4:AY$195,3),3,4)))</f>
        <v>1</v>
      </c>
      <c r="AZ118" s="25">
        <f>IF(Data!AZ118&lt;=QUARTILE(Data!AZ$4:AZ$195,1),1,IF(Data!AZ118&lt;=MEDIAN(Data!AZ$4:AZ$195),2,IF(Data!AZ118&lt;=QUARTILE(Data!AZ$4:AZ$195,3),3,4)))</f>
        <v>4</v>
      </c>
      <c r="BA118" s="22">
        <f>IF(Data!BA118&lt;=QUARTILE(Data!BA$4:BA$195,1),1,IF(Data!BA118&lt;=MEDIAN(Data!BA$4:BA$195),2,IF(Data!BA118&lt;=QUARTILE(Data!BA$4:BA$195,3),3,4)))</f>
        <v>3</v>
      </c>
    </row>
    <row r="119" spans="1:53" x14ac:dyDescent="0.25">
      <c r="A119" s="4" t="s">
        <v>27</v>
      </c>
      <c r="B119" s="40">
        <v>2006</v>
      </c>
      <c r="C119" s="25">
        <v>10</v>
      </c>
      <c r="D119" s="28">
        <v>6</v>
      </c>
      <c r="E119" s="77" t="s">
        <v>97</v>
      </c>
      <c r="F119" s="28">
        <v>4</v>
      </c>
      <c r="G119" s="28">
        <v>4.9000000000000004</v>
      </c>
      <c r="H119" s="22">
        <v>-0.9</v>
      </c>
      <c r="I119" s="25">
        <f>IF(Data!I119&lt;=QUARTILE(Data!I$4:I$195,1),1,IF(Data!I119&lt;=MEDIAN(Data!I$4:I$195),2,IF(Data!I119&lt;=QUARTILE(Data!I$4:I$195,3),3,4)))</f>
        <v>4</v>
      </c>
      <c r="J119" s="28">
        <f>IF(Data!J119&lt;=QUARTILE(Data!J$4:J$195,1),1,IF(Data!J119&lt;=MEDIAN(Data!J$4:J$195),2,IF(Data!J119&lt;=QUARTILE(Data!J$4:J$195,3),3,4)))</f>
        <v>4</v>
      </c>
      <c r="K119" s="28">
        <f>IF(Data!K119&lt;=QUARTILE(Data!K$4:K$195,1),1,IF(Data!K119&lt;=MEDIAN(Data!K$4:K$195),2,IF(Data!K119&lt;=QUARTILE(Data!K$4:K$195,3),3,4)))</f>
        <v>4</v>
      </c>
      <c r="L119" s="22">
        <f>IF(Data!L119&lt;=QUARTILE(Data!L$4:L$195,1),1,IF(Data!L119&lt;=MEDIAN(Data!L$4:L$195),2,IF(Data!L119&lt;=QUARTILE(Data!L$4:L$195,3),3,4)))</f>
        <v>4</v>
      </c>
      <c r="M119" s="28">
        <f>IF(Data!M119&lt;=QUARTILE(Data!M$4:M$195,1),1,IF(Data!M119&lt;=MEDIAN(Data!M$4:M$195),2,IF(Data!M119&lt;=QUARTILE(Data!M$4:M$195,3),3,4)))</f>
        <v>4</v>
      </c>
      <c r="N119" s="28">
        <f>IF(Data!N119&lt;=QUARTILE(Data!N$4:N$195,1),1,IF(Data!N119&lt;=MEDIAN(Data!N$4:N$195),2,IF(Data!N119&lt;=QUARTILE(Data!N$4:N$195,3),3,4)))</f>
        <v>4</v>
      </c>
      <c r="O119" s="28">
        <f>IF(Data!O119&lt;=QUARTILE(Data!O$4:O$195,1),1,IF(Data!O119&lt;=MEDIAN(Data!O$4:O$195),2,IF(Data!O119&lt;=QUARTILE(Data!O$4:O$195,3),3,4)))</f>
        <v>4</v>
      </c>
      <c r="P119" s="28">
        <f>IF(Data!P119&lt;=QUARTILE(Data!P$4:P$195,1),1,IF(Data!P119&lt;=MEDIAN(Data!P$4:P$195),2,IF(Data!P119&lt;=QUARTILE(Data!P$4:P$195,3),3,4)))</f>
        <v>4</v>
      </c>
      <c r="Q119" s="28">
        <f>IF(Data!Q119&lt;=QUARTILE(Data!Q$4:Q$195,1),1,IF(Data!Q119&lt;=MEDIAN(Data!Q$4:Q$195),2,IF(Data!Q119&lt;=QUARTILE(Data!Q$4:Q$195,3),3,4)))</f>
        <v>4</v>
      </c>
      <c r="R119" s="28">
        <f>IF(Data!R119&lt;=QUARTILE(Data!R$4:R$195,1),1,IF(Data!R119&lt;=MEDIAN(Data!R$4:R$195),2,IF(Data!R119&lt;=QUARTILE(Data!R$4:R$195,3),3,4)))</f>
        <v>4</v>
      </c>
      <c r="S119" s="28">
        <f>IF(Data!S119&lt;=QUARTILE(Data!S$4:S$195,1),1,IF(Data!S119&lt;=MEDIAN(Data!S$4:S$195),2,IF(Data!S119&lt;=QUARTILE(Data!S$4:S$195,3),3,4)))</f>
        <v>1</v>
      </c>
      <c r="T119" s="22">
        <f>IF(Data!T119&lt;=QUARTILE(Data!T$4:T$195,1),1,IF(Data!T119&lt;=MEDIAN(Data!T$4:T$195),2,IF(Data!T119&lt;=QUARTILE(Data!T$4:T$195,3),3,4)))</f>
        <v>1</v>
      </c>
      <c r="U119" s="25">
        <f>IF(Data!U119&lt;=QUARTILE(Data!U$4:U$195,1),1,IF(Data!U119&lt;=MEDIAN(Data!U$4:U$195),2,IF(Data!U119&lt;=QUARTILE(Data!U$4:U$195,3),3,4)))</f>
        <v>3</v>
      </c>
      <c r="V119" s="28">
        <f>IF(Data!V119&lt;=QUARTILE(Data!V$4:V$195,1),1,IF(Data!V119&lt;=MEDIAN(Data!V$4:V$195),2,IF(Data!V119&lt;=QUARTILE(Data!V$4:V$195,3),3,4)))</f>
        <v>2</v>
      </c>
      <c r="W119" s="28">
        <f>IF(Data!W119&lt;=QUARTILE(Data!W$4:W$195,1),1,IF(Data!W119&lt;=MEDIAN(Data!W$4:W$195),2,IF(Data!W119&lt;=QUARTILE(Data!W$4:W$195,3),3,4)))</f>
        <v>4</v>
      </c>
      <c r="X119" s="22">
        <f>IF(Data!X119&lt;=QUARTILE(Data!X$4:X$195,1),1,IF(Data!X119&lt;=MEDIAN(Data!X$4:X$195),2,IF(Data!X119&lt;=QUARTILE(Data!X$4:X$195,3),3,4)))</f>
        <v>3</v>
      </c>
      <c r="Y119" s="28">
        <f>IF(Data!Y119&lt;=QUARTILE(Data!Y$4:Y$195,1),1,IF(Data!Y119&lt;=MEDIAN(Data!Y$4:Y$195),2,IF(Data!Y119&lt;=QUARTILE(Data!Y$4:Y$195,3),3,4)))</f>
        <v>1</v>
      </c>
      <c r="Z119" s="22">
        <f>IF(Data!Z119&lt;=QUARTILE(Data!Z$4:Z$195,1),1,IF(Data!Z119&lt;=MEDIAN(Data!Z$4:Z$195),2,IF(Data!Z119&lt;=QUARTILE(Data!Z$4:Z$195,3),3,4)))</f>
        <v>1</v>
      </c>
      <c r="AA119" s="25">
        <f>IF(Data!AA119&lt;=QUARTILE(Data!AA$4:AA$195,1),1,IF(Data!AA119&lt;=MEDIAN(Data!AA$4:AA$195),2,IF(Data!AA119&lt;=QUARTILE(Data!AA$4:AA$195,3),3,4)))</f>
        <v>4</v>
      </c>
      <c r="AB119" s="22">
        <f>IF(Data!AB119&lt;=QUARTILE(Data!AB$4:AB$195,1),1,IF(Data!AB119&lt;=MEDIAN(Data!AB$4:AB$195),2,IF(Data!AB119&lt;=QUARTILE(Data!AB$4:AB$195,3),3,4)))</f>
        <v>3</v>
      </c>
      <c r="AC119" s="25">
        <f>IF(Data!AC119&lt;=QUARTILE(Data!AC$4:AC$195,1),1,IF(Data!AC119&lt;=MEDIAN(Data!AC$4:AC$195),2,IF(Data!AC119&lt;=QUARTILE(Data!AC$4:AC$195,3),3,4)))</f>
        <v>2</v>
      </c>
      <c r="AD119" s="22">
        <f>IF(Data!AD119&lt;=QUARTILE(Data!AD$4:AD$195,1),1,IF(Data!AD119&lt;=MEDIAN(Data!AD$4:AD$195),2,IF(Data!AD119&lt;=QUARTILE(Data!AD$4:AD$195,3),3,4)))</f>
        <v>2</v>
      </c>
      <c r="AE119" s="28">
        <f>IF(Data!AE119&lt;=QUARTILE(Data!AE$4:AE$195,1),1,IF(Data!AE119&lt;=MEDIAN(Data!AE$4:AE$195),2,IF(Data!AE119&lt;=QUARTILE(Data!AE$4:AE$195,3),3,4)))</f>
        <v>2</v>
      </c>
      <c r="AF119" s="28">
        <f>IF(Data!AF119&lt;=QUARTILE(Data!AF$4:AF$195,1),1,IF(Data!AF119&lt;=MEDIAN(Data!AF$4:AF$195),2,IF(Data!AF119&lt;=QUARTILE(Data!AF$4:AF$195,3),3,4)))</f>
        <v>3</v>
      </c>
      <c r="AG119" s="28">
        <f>IF(Data!AG119&lt;=QUARTILE(Data!AG$4:AG$195,1),1,IF(Data!AG119&lt;=MEDIAN(Data!AG$4:AG$195),2,IF(Data!AG119&lt;=QUARTILE(Data!AG$4:AG$195,3),3,4)))</f>
        <v>1</v>
      </c>
      <c r="AH119" s="22">
        <f>IF(Data!AH119&lt;=QUARTILE(Data!AH$4:AH$195,1),1,IF(Data!AH119&lt;=MEDIAN(Data!AH$4:AH$195),2,IF(Data!AH119&lt;=QUARTILE(Data!AH$4:AH$195,3),3,4)))</f>
        <v>1</v>
      </c>
      <c r="AI119" s="25">
        <f>IF(Data!AI119&lt;=QUARTILE(Data!AI$4:AI$195,1),1,IF(Data!AI119&lt;=MEDIAN(Data!AI$4:AI$195),2,IF(Data!AI119&lt;=QUARTILE(Data!AI$4:AI$195,3),3,4)))</f>
        <v>2</v>
      </c>
      <c r="AJ119" s="22">
        <f>IF(Data!AJ119&lt;=QUARTILE(Data!AJ$4:AJ$195,1),1,IF(Data!AJ119&lt;=MEDIAN(Data!AJ$4:AJ$195),2,IF(Data!AJ119&lt;=QUARTILE(Data!AJ$4:AJ$195,3),3,4)))</f>
        <v>3</v>
      </c>
      <c r="AK119" s="25">
        <f>IF(Data!AK119&lt;=QUARTILE(Data!AK$4:AK$195,1),1,IF(Data!AK119&lt;=MEDIAN(Data!AK$4:AK$195),2,IF(Data!AK119&lt;=QUARTILE(Data!AK$4:AK$195,3),3,4)))</f>
        <v>2</v>
      </c>
      <c r="AL119" s="28">
        <f>IF(Data!AL119&lt;=QUARTILE(Data!AL$4:AL$195,1),1,IF(Data!AL119&lt;=MEDIAN(Data!AL$4:AL$195),2,IF(Data!AL119&lt;=QUARTILE(Data!AL$4:AL$195,3),3,4)))</f>
        <v>2</v>
      </c>
      <c r="AM119" s="28">
        <f>IF(Data!AM119&lt;=QUARTILE(Data!AM$4:AM$195,1),1,IF(Data!AM119&lt;=MEDIAN(Data!AM$4:AM$195),2,IF(Data!AM119&lt;=QUARTILE(Data!AM$4:AM$195,3),3,4)))</f>
        <v>1</v>
      </c>
      <c r="AN119" s="22">
        <f>IF(Data!AN119&lt;=QUARTILE(Data!AN$4:AN$195,1),1,IF(Data!AN119&lt;=MEDIAN(Data!AN$4:AN$195),2,IF(Data!AN119&lt;=QUARTILE(Data!AN$4:AN$195,3),3,4)))</f>
        <v>1</v>
      </c>
      <c r="AO119" s="28">
        <f>IF(Data!AO119&lt;=QUARTILE(Data!AO$4:AO$195,1),1,IF(Data!AO119&lt;=MEDIAN(Data!AO$4:AO$195),2,IF(Data!AO119&lt;=QUARTILE(Data!AO$4:AO$195,3),3,4)))</f>
        <v>1</v>
      </c>
      <c r="AP119" s="28">
        <f>IF(Data!AP119&lt;=QUARTILE(Data!AP$4:AP$195,1),1,IF(Data!AP119&lt;=MEDIAN(Data!AP$4:AP$195),2,IF(Data!AP119&lt;=QUARTILE(Data!AP$4:AP$195,3),3,4)))</f>
        <v>1</v>
      </c>
      <c r="AQ119" s="28">
        <f>IF(Data!AQ119&lt;=QUARTILE(Data!AQ$4:AQ$195,1),1,IF(Data!AQ119&lt;=MEDIAN(Data!AQ$4:AQ$195),2,IF(Data!AQ119&lt;=QUARTILE(Data!AQ$4:AQ$195,3),3,4)))</f>
        <v>1</v>
      </c>
      <c r="AR119" s="28">
        <f>IF(Data!AR119&lt;=QUARTILE(Data!AR$4:AR$195,1),1,IF(Data!AR119&lt;=MEDIAN(Data!AR$4:AR$195),2,IF(Data!AR119&lt;=QUARTILE(Data!AR$4:AR$195,3),3,4)))</f>
        <v>4</v>
      </c>
      <c r="AS119" s="28">
        <f>IF(Data!AS119&lt;=QUARTILE(Data!AS$4:AS$195,1),1,IF(Data!AS119&lt;=MEDIAN(Data!AS$4:AS$195),2,IF(Data!AS119&lt;=QUARTILE(Data!AS$4:AS$195,3),3,4)))</f>
        <v>1</v>
      </c>
      <c r="AT119" s="28">
        <f>IF(Data!AT119&lt;=QUARTILE(Data!AT$4:AT$195,1),1,IF(Data!AT119&lt;=MEDIAN(Data!AT$4:AT$195),2,IF(Data!AT119&lt;=QUARTILE(Data!AT$4:AT$195,3),3,4)))</f>
        <v>3</v>
      </c>
      <c r="AU119" s="22">
        <f>IF(Data!AU119&lt;=QUARTILE(Data!AU$4:AU$195,1),1,IF(Data!AU119&lt;=MEDIAN(Data!AU$4:AU$195),2,IF(Data!AU119&lt;=QUARTILE(Data!AU$4:AU$195,3),3,4)))</f>
        <v>4</v>
      </c>
      <c r="AV119" s="25">
        <f>IF(Data!AV119&lt;=QUARTILE(Data!AV$4:AV$195,1),1,IF(Data!AV119&lt;=MEDIAN(Data!AV$4:AV$195),2,IF(Data!AV119&lt;=QUARTILE(Data!AV$4:AV$195,3),3,4)))</f>
        <v>2</v>
      </c>
      <c r="AW119" s="28">
        <f>IF(Data!AW119&lt;=QUARTILE(Data!AW$4:AW$195,1),1,IF(Data!AW119&lt;=MEDIAN(Data!AW$4:AW$195),2,IF(Data!AW119&lt;=QUARTILE(Data!AW$4:AW$195,3),3,4)))</f>
        <v>4</v>
      </c>
      <c r="AX119" s="28">
        <f>IF(Data!AX119&lt;=QUARTILE(Data!AX$4:AX$195,1),1,IF(Data!AX119&lt;=MEDIAN(Data!AX$4:AX$195),2,IF(Data!AX119&lt;=QUARTILE(Data!AX$4:AX$195,3),3,4)))</f>
        <v>1</v>
      </c>
      <c r="AY119" s="22">
        <f>IF(Data!AY119&lt;=QUARTILE(Data!AY$4:AY$195,1),1,IF(Data!AY119&lt;=MEDIAN(Data!AY$4:AY$195),2,IF(Data!AY119&lt;=QUARTILE(Data!AY$4:AY$195,3),3,4)))</f>
        <v>2</v>
      </c>
      <c r="AZ119" s="25">
        <f>IF(Data!AZ119&lt;=QUARTILE(Data!AZ$4:AZ$195,1),1,IF(Data!AZ119&lt;=MEDIAN(Data!AZ$4:AZ$195),2,IF(Data!AZ119&lt;=QUARTILE(Data!AZ$4:AZ$195,3),3,4)))</f>
        <v>1</v>
      </c>
      <c r="BA119" s="22">
        <f>IF(Data!BA119&lt;=QUARTILE(Data!BA$4:BA$195,1),1,IF(Data!BA119&lt;=MEDIAN(Data!BA$4:BA$195),2,IF(Data!BA119&lt;=QUARTILE(Data!BA$4:BA$195,3),3,4)))</f>
        <v>1</v>
      </c>
    </row>
    <row r="120" spans="1:53" x14ac:dyDescent="0.25">
      <c r="A120" s="4" t="s">
        <v>21</v>
      </c>
      <c r="B120" s="40">
        <v>2006</v>
      </c>
      <c r="C120" s="25">
        <v>8</v>
      </c>
      <c r="D120" s="28">
        <v>8</v>
      </c>
      <c r="E120" s="77" t="s">
        <v>97</v>
      </c>
      <c r="F120" s="28">
        <v>0.1</v>
      </c>
      <c r="G120" s="28">
        <v>1.2</v>
      </c>
      <c r="H120" s="22">
        <v>-1.1000000000000001</v>
      </c>
      <c r="I120" s="25">
        <f>IF(Data!I120&lt;=QUARTILE(Data!I$4:I$195,1),1,IF(Data!I120&lt;=MEDIAN(Data!I$4:I$195),2,IF(Data!I120&lt;=QUARTILE(Data!I$4:I$195,3),3,4)))</f>
        <v>3</v>
      </c>
      <c r="J120" s="28">
        <f>IF(Data!J120&lt;=QUARTILE(Data!J$4:J$195,1),1,IF(Data!J120&lt;=MEDIAN(Data!J$4:J$195),2,IF(Data!J120&lt;=QUARTILE(Data!J$4:J$195,3),3,4)))</f>
        <v>3</v>
      </c>
      <c r="K120" s="28">
        <f>IF(Data!K120&lt;=QUARTILE(Data!K$4:K$195,1),1,IF(Data!K120&lt;=MEDIAN(Data!K$4:K$195),2,IF(Data!K120&lt;=QUARTILE(Data!K$4:K$195,3),3,4)))</f>
        <v>2</v>
      </c>
      <c r="L120" s="22">
        <f>IF(Data!L120&lt;=QUARTILE(Data!L$4:L$195,1),1,IF(Data!L120&lt;=MEDIAN(Data!L$4:L$195),2,IF(Data!L120&lt;=QUARTILE(Data!L$4:L$195,3),3,4)))</f>
        <v>3</v>
      </c>
      <c r="M120" s="28">
        <f>IF(Data!M120&lt;=QUARTILE(Data!M$4:M$195,1),1,IF(Data!M120&lt;=MEDIAN(Data!M$4:M$195),2,IF(Data!M120&lt;=QUARTILE(Data!M$4:M$195,3),3,4)))</f>
        <v>2</v>
      </c>
      <c r="N120" s="28">
        <f>IF(Data!N120&lt;=QUARTILE(Data!N$4:N$195,1),1,IF(Data!N120&lt;=MEDIAN(Data!N$4:N$195),2,IF(Data!N120&lt;=QUARTILE(Data!N$4:N$195,3),3,4)))</f>
        <v>2</v>
      </c>
      <c r="O120" s="28">
        <f>IF(Data!O120&lt;=QUARTILE(Data!O$4:O$195,1),1,IF(Data!O120&lt;=MEDIAN(Data!O$4:O$195),2,IF(Data!O120&lt;=QUARTILE(Data!O$4:O$195,3),3,4)))</f>
        <v>2</v>
      </c>
      <c r="P120" s="28">
        <f>IF(Data!P120&lt;=QUARTILE(Data!P$4:P$195,1),1,IF(Data!P120&lt;=MEDIAN(Data!P$4:P$195),2,IF(Data!P120&lt;=QUARTILE(Data!P$4:P$195,3),3,4)))</f>
        <v>3</v>
      </c>
      <c r="Q120" s="28">
        <f>IF(Data!Q120&lt;=QUARTILE(Data!Q$4:Q$195,1),1,IF(Data!Q120&lt;=MEDIAN(Data!Q$4:Q$195),2,IF(Data!Q120&lt;=QUARTILE(Data!Q$4:Q$195,3),3,4)))</f>
        <v>2</v>
      </c>
      <c r="R120" s="28">
        <f>IF(Data!R120&lt;=QUARTILE(Data!R$4:R$195,1),1,IF(Data!R120&lt;=MEDIAN(Data!R$4:R$195),2,IF(Data!R120&lt;=QUARTILE(Data!R$4:R$195,3),3,4)))</f>
        <v>2</v>
      </c>
      <c r="S120" s="28">
        <f>IF(Data!S120&lt;=QUARTILE(Data!S$4:S$195,1),1,IF(Data!S120&lt;=MEDIAN(Data!S$4:S$195),2,IF(Data!S120&lt;=QUARTILE(Data!S$4:S$195,3),3,4)))</f>
        <v>1</v>
      </c>
      <c r="T120" s="22">
        <f>IF(Data!T120&lt;=QUARTILE(Data!T$4:T$195,1),1,IF(Data!T120&lt;=MEDIAN(Data!T$4:T$195),2,IF(Data!T120&lt;=QUARTILE(Data!T$4:T$195,3),3,4)))</f>
        <v>2</v>
      </c>
      <c r="U120" s="25">
        <f>IF(Data!U120&lt;=QUARTILE(Data!U$4:U$195,1),1,IF(Data!U120&lt;=MEDIAN(Data!U$4:U$195),2,IF(Data!U120&lt;=QUARTILE(Data!U$4:U$195,3),3,4)))</f>
        <v>3</v>
      </c>
      <c r="V120" s="28">
        <f>IF(Data!V120&lt;=QUARTILE(Data!V$4:V$195,1),1,IF(Data!V120&lt;=MEDIAN(Data!V$4:V$195),2,IF(Data!V120&lt;=QUARTILE(Data!V$4:V$195,3),3,4)))</f>
        <v>4</v>
      </c>
      <c r="W120" s="28">
        <f>IF(Data!W120&lt;=QUARTILE(Data!W$4:W$195,1),1,IF(Data!W120&lt;=MEDIAN(Data!W$4:W$195),2,IF(Data!W120&lt;=QUARTILE(Data!W$4:W$195,3),3,4)))</f>
        <v>3</v>
      </c>
      <c r="X120" s="22">
        <f>IF(Data!X120&lt;=QUARTILE(Data!X$4:X$195,1),1,IF(Data!X120&lt;=MEDIAN(Data!X$4:X$195),2,IF(Data!X120&lt;=QUARTILE(Data!X$4:X$195,3),3,4)))</f>
        <v>4</v>
      </c>
      <c r="Y120" s="28">
        <f>IF(Data!Y120&lt;=QUARTILE(Data!Y$4:Y$195,1),1,IF(Data!Y120&lt;=MEDIAN(Data!Y$4:Y$195),2,IF(Data!Y120&lt;=QUARTILE(Data!Y$4:Y$195,3),3,4)))</f>
        <v>3</v>
      </c>
      <c r="Z120" s="22">
        <f>IF(Data!Z120&lt;=QUARTILE(Data!Z$4:Z$195,1),1,IF(Data!Z120&lt;=MEDIAN(Data!Z$4:Z$195),2,IF(Data!Z120&lt;=QUARTILE(Data!Z$4:Z$195,3),3,4)))</f>
        <v>1</v>
      </c>
      <c r="AA120" s="25">
        <f>IF(Data!AA120&lt;=QUARTILE(Data!AA$4:AA$195,1),1,IF(Data!AA120&lt;=MEDIAN(Data!AA$4:AA$195),2,IF(Data!AA120&lt;=QUARTILE(Data!AA$4:AA$195,3),3,4)))</f>
        <v>2</v>
      </c>
      <c r="AB120" s="22">
        <f>IF(Data!AB120&lt;=QUARTILE(Data!AB$4:AB$195,1),1,IF(Data!AB120&lt;=MEDIAN(Data!AB$4:AB$195),2,IF(Data!AB120&lt;=QUARTILE(Data!AB$4:AB$195,3),3,4)))</f>
        <v>2</v>
      </c>
      <c r="AC120" s="25">
        <f>IF(Data!AC120&lt;=QUARTILE(Data!AC$4:AC$195,1),1,IF(Data!AC120&lt;=MEDIAN(Data!AC$4:AC$195),2,IF(Data!AC120&lt;=QUARTILE(Data!AC$4:AC$195,3),3,4)))</f>
        <v>3</v>
      </c>
      <c r="AD120" s="22">
        <f>IF(Data!AD120&lt;=QUARTILE(Data!AD$4:AD$195,1),1,IF(Data!AD120&lt;=MEDIAN(Data!AD$4:AD$195),2,IF(Data!AD120&lt;=QUARTILE(Data!AD$4:AD$195,3),3,4)))</f>
        <v>2</v>
      </c>
      <c r="AE120" s="28">
        <f>IF(Data!AE120&lt;=QUARTILE(Data!AE$4:AE$195,1),1,IF(Data!AE120&lt;=MEDIAN(Data!AE$4:AE$195),2,IF(Data!AE120&lt;=QUARTILE(Data!AE$4:AE$195,3),3,4)))</f>
        <v>2</v>
      </c>
      <c r="AF120" s="28">
        <f>IF(Data!AF120&lt;=QUARTILE(Data!AF$4:AF$195,1),1,IF(Data!AF120&lt;=MEDIAN(Data!AF$4:AF$195),2,IF(Data!AF120&lt;=QUARTILE(Data!AF$4:AF$195,3),3,4)))</f>
        <v>3</v>
      </c>
      <c r="AG120" s="28">
        <f>IF(Data!AG120&lt;=QUARTILE(Data!AG$4:AG$195,1),1,IF(Data!AG120&lt;=MEDIAN(Data!AG$4:AG$195),2,IF(Data!AG120&lt;=QUARTILE(Data!AG$4:AG$195,3),3,4)))</f>
        <v>1</v>
      </c>
      <c r="AH120" s="22">
        <f>IF(Data!AH120&lt;=QUARTILE(Data!AH$4:AH$195,1),1,IF(Data!AH120&lt;=MEDIAN(Data!AH$4:AH$195),2,IF(Data!AH120&lt;=QUARTILE(Data!AH$4:AH$195,3),3,4)))</f>
        <v>1</v>
      </c>
      <c r="AI120" s="25">
        <f>IF(Data!AI120&lt;=QUARTILE(Data!AI$4:AI$195,1),1,IF(Data!AI120&lt;=MEDIAN(Data!AI$4:AI$195),2,IF(Data!AI120&lt;=QUARTILE(Data!AI$4:AI$195,3),3,4)))</f>
        <v>2</v>
      </c>
      <c r="AJ120" s="22">
        <f>IF(Data!AJ120&lt;=QUARTILE(Data!AJ$4:AJ$195,1),1,IF(Data!AJ120&lt;=MEDIAN(Data!AJ$4:AJ$195),2,IF(Data!AJ120&lt;=QUARTILE(Data!AJ$4:AJ$195,3),3,4)))</f>
        <v>2</v>
      </c>
      <c r="AK120" s="25">
        <f>IF(Data!AK120&lt;=QUARTILE(Data!AK$4:AK$195,1),1,IF(Data!AK120&lt;=MEDIAN(Data!AK$4:AK$195),2,IF(Data!AK120&lt;=QUARTILE(Data!AK$4:AK$195,3),3,4)))</f>
        <v>3</v>
      </c>
      <c r="AL120" s="28">
        <f>IF(Data!AL120&lt;=QUARTILE(Data!AL$4:AL$195,1),1,IF(Data!AL120&lt;=MEDIAN(Data!AL$4:AL$195),2,IF(Data!AL120&lt;=QUARTILE(Data!AL$4:AL$195,3),3,4)))</f>
        <v>3</v>
      </c>
      <c r="AM120" s="28">
        <f>IF(Data!AM120&lt;=QUARTILE(Data!AM$4:AM$195,1),1,IF(Data!AM120&lt;=MEDIAN(Data!AM$4:AM$195),2,IF(Data!AM120&lt;=QUARTILE(Data!AM$4:AM$195,3),3,4)))</f>
        <v>4</v>
      </c>
      <c r="AN120" s="22">
        <f>IF(Data!AN120&lt;=QUARTILE(Data!AN$4:AN$195,1),1,IF(Data!AN120&lt;=MEDIAN(Data!AN$4:AN$195),2,IF(Data!AN120&lt;=QUARTILE(Data!AN$4:AN$195,3),3,4)))</f>
        <v>3</v>
      </c>
      <c r="AO120" s="28">
        <f>IF(Data!AO120&lt;=QUARTILE(Data!AO$4:AO$195,1),1,IF(Data!AO120&lt;=MEDIAN(Data!AO$4:AO$195),2,IF(Data!AO120&lt;=QUARTILE(Data!AO$4:AO$195,3),3,4)))</f>
        <v>3</v>
      </c>
      <c r="AP120" s="28">
        <f>IF(Data!AP120&lt;=QUARTILE(Data!AP$4:AP$195,1),1,IF(Data!AP120&lt;=MEDIAN(Data!AP$4:AP$195),2,IF(Data!AP120&lt;=QUARTILE(Data!AP$4:AP$195,3),3,4)))</f>
        <v>4</v>
      </c>
      <c r="AQ120" s="28">
        <f>IF(Data!AQ120&lt;=QUARTILE(Data!AQ$4:AQ$195,1),1,IF(Data!AQ120&lt;=MEDIAN(Data!AQ$4:AQ$195),2,IF(Data!AQ120&lt;=QUARTILE(Data!AQ$4:AQ$195,3),3,4)))</f>
        <v>4</v>
      </c>
      <c r="AR120" s="28">
        <f>IF(Data!AR120&lt;=QUARTILE(Data!AR$4:AR$195,1),1,IF(Data!AR120&lt;=MEDIAN(Data!AR$4:AR$195),2,IF(Data!AR120&lt;=QUARTILE(Data!AR$4:AR$195,3),3,4)))</f>
        <v>2</v>
      </c>
      <c r="AS120" s="28">
        <f>IF(Data!AS120&lt;=QUARTILE(Data!AS$4:AS$195,1),1,IF(Data!AS120&lt;=MEDIAN(Data!AS$4:AS$195),2,IF(Data!AS120&lt;=QUARTILE(Data!AS$4:AS$195,3),3,4)))</f>
        <v>4</v>
      </c>
      <c r="AT120" s="28">
        <f>IF(Data!AT120&lt;=QUARTILE(Data!AT$4:AT$195,1),1,IF(Data!AT120&lt;=MEDIAN(Data!AT$4:AT$195),2,IF(Data!AT120&lt;=QUARTILE(Data!AT$4:AT$195,3),3,4)))</f>
        <v>2</v>
      </c>
      <c r="AU120" s="22">
        <f>IF(Data!AU120&lt;=QUARTILE(Data!AU$4:AU$195,1),1,IF(Data!AU120&lt;=MEDIAN(Data!AU$4:AU$195),2,IF(Data!AU120&lt;=QUARTILE(Data!AU$4:AU$195,3),3,4)))</f>
        <v>1</v>
      </c>
      <c r="AV120" s="25">
        <f>IF(Data!AV120&lt;=QUARTILE(Data!AV$4:AV$195,1),1,IF(Data!AV120&lt;=MEDIAN(Data!AV$4:AV$195),2,IF(Data!AV120&lt;=QUARTILE(Data!AV$4:AV$195,3),3,4)))</f>
        <v>3</v>
      </c>
      <c r="AW120" s="28">
        <f>IF(Data!AW120&lt;=QUARTILE(Data!AW$4:AW$195,1),1,IF(Data!AW120&lt;=MEDIAN(Data!AW$4:AW$195),2,IF(Data!AW120&lt;=QUARTILE(Data!AW$4:AW$195,3),3,4)))</f>
        <v>2</v>
      </c>
      <c r="AX120" s="28">
        <f>IF(Data!AX120&lt;=QUARTILE(Data!AX$4:AX$195,1),1,IF(Data!AX120&lt;=MEDIAN(Data!AX$4:AX$195),2,IF(Data!AX120&lt;=QUARTILE(Data!AX$4:AX$195,3),3,4)))</f>
        <v>4</v>
      </c>
      <c r="AY120" s="22">
        <f>IF(Data!AY120&lt;=QUARTILE(Data!AY$4:AY$195,1),1,IF(Data!AY120&lt;=MEDIAN(Data!AY$4:AY$195),2,IF(Data!AY120&lt;=QUARTILE(Data!AY$4:AY$195,3),3,4)))</f>
        <v>3</v>
      </c>
      <c r="AZ120" s="25">
        <f>IF(Data!AZ120&lt;=QUARTILE(Data!AZ$4:AZ$195,1),1,IF(Data!AZ120&lt;=MEDIAN(Data!AZ$4:AZ$195),2,IF(Data!AZ120&lt;=QUARTILE(Data!AZ$4:AZ$195,3),3,4)))</f>
        <v>3</v>
      </c>
      <c r="BA120" s="22">
        <f>IF(Data!BA120&lt;=QUARTILE(Data!BA$4:BA$195,1),1,IF(Data!BA120&lt;=MEDIAN(Data!BA$4:BA$195),2,IF(Data!BA120&lt;=QUARTILE(Data!BA$4:BA$195,3),3,4)))</f>
        <v>2</v>
      </c>
    </row>
    <row r="121" spans="1:53" x14ac:dyDescent="0.25">
      <c r="A121" s="4" t="s">
        <v>4</v>
      </c>
      <c r="B121" s="40">
        <v>2006</v>
      </c>
      <c r="C121" s="25">
        <v>10</v>
      </c>
      <c r="D121" s="28">
        <v>6</v>
      </c>
      <c r="E121" s="77" t="s">
        <v>97</v>
      </c>
      <c r="F121" s="28">
        <v>2</v>
      </c>
      <c r="G121" s="28">
        <v>0.4</v>
      </c>
      <c r="H121" s="22">
        <v>1.7</v>
      </c>
      <c r="I121" s="25">
        <f>IF(Data!I121&lt;=QUARTILE(Data!I$4:I$195,1),1,IF(Data!I121&lt;=MEDIAN(Data!I$4:I$195),2,IF(Data!I121&lt;=QUARTILE(Data!I$4:I$195,3),3,4)))</f>
        <v>2</v>
      </c>
      <c r="J121" s="28">
        <f>IF(Data!J121&lt;=QUARTILE(Data!J$4:J$195,1),1,IF(Data!J121&lt;=MEDIAN(Data!J$4:J$195),2,IF(Data!J121&lt;=QUARTILE(Data!J$4:J$195,3),3,4)))</f>
        <v>2</v>
      </c>
      <c r="K121" s="28">
        <f>IF(Data!K121&lt;=QUARTILE(Data!K$4:K$195,1),1,IF(Data!K121&lt;=MEDIAN(Data!K$4:K$195),2,IF(Data!K121&lt;=QUARTILE(Data!K$4:K$195,3),3,4)))</f>
        <v>3</v>
      </c>
      <c r="L121" s="22">
        <f>IF(Data!L121&lt;=QUARTILE(Data!L$4:L$195,1),1,IF(Data!L121&lt;=MEDIAN(Data!L$4:L$195),2,IF(Data!L121&lt;=QUARTILE(Data!L$4:L$195,3),3,4)))</f>
        <v>2</v>
      </c>
      <c r="M121" s="28">
        <f>IF(Data!M121&lt;=QUARTILE(Data!M$4:M$195,1),1,IF(Data!M121&lt;=MEDIAN(Data!M$4:M$195),2,IF(Data!M121&lt;=QUARTILE(Data!M$4:M$195,3),3,4)))</f>
        <v>3</v>
      </c>
      <c r="N121" s="28">
        <f>IF(Data!N121&lt;=QUARTILE(Data!N$4:N$195,1),1,IF(Data!N121&lt;=MEDIAN(Data!N$4:N$195),2,IF(Data!N121&lt;=QUARTILE(Data!N$4:N$195,3),3,4)))</f>
        <v>2</v>
      </c>
      <c r="O121" s="28">
        <f>IF(Data!O121&lt;=QUARTILE(Data!O$4:O$195,1),1,IF(Data!O121&lt;=MEDIAN(Data!O$4:O$195),2,IF(Data!O121&lt;=QUARTILE(Data!O$4:O$195,3),3,4)))</f>
        <v>2</v>
      </c>
      <c r="P121" s="28">
        <f>IF(Data!P121&lt;=QUARTILE(Data!P$4:P$195,1),1,IF(Data!P121&lt;=MEDIAN(Data!P$4:P$195),2,IF(Data!P121&lt;=QUARTILE(Data!P$4:P$195,3),3,4)))</f>
        <v>2</v>
      </c>
      <c r="Q121" s="28">
        <f>IF(Data!Q121&lt;=QUARTILE(Data!Q$4:Q$195,1),1,IF(Data!Q121&lt;=MEDIAN(Data!Q$4:Q$195),2,IF(Data!Q121&lt;=QUARTILE(Data!Q$4:Q$195,3),3,4)))</f>
        <v>2</v>
      </c>
      <c r="R121" s="28">
        <f>IF(Data!R121&lt;=QUARTILE(Data!R$4:R$195,1),1,IF(Data!R121&lt;=MEDIAN(Data!R$4:R$195),2,IF(Data!R121&lt;=QUARTILE(Data!R$4:R$195,3),3,4)))</f>
        <v>3</v>
      </c>
      <c r="S121" s="28">
        <f>IF(Data!S121&lt;=QUARTILE(Data!S$4:S$195,1),1,IF(Data!S121&lt;=MEDIAN(Data!S$4:S$195),2,IF(Data!S121&lt;=QUARTILE(Data!S$4:S$195,3),3,4)))</f>
        <v>2</v>
      </c>
      <c r="T121" s="22">
        <f>IF(Data!T121&lt;=QUARTILE(Data!T$4:T$195,1),1,IF(Data!T121&lt;=MEDIAN(Data!T$4:T$195),2,IF(Data!T121&lt;=QUARTILE(Data!T$4:T$195,3),3,4)))</f>
        <v>2</v>
      </c>
      <c r="U121" s="25">
        <f>IF(Data!U121&lt;=QUARTILE(Data!U$4:U$195,1),1,IF(Data!U121&lt;=MEDIAN(Data!U$4:U$195),2,IF(Data!U121&lt;=QUARTILE(Data!U$4:U$195,3),3,4)))</f>
        <v>4</v>
      </c>
      <c r="V121" s="28">
        <f>IF(Data!V121&lt;=QUARTILE(Data!V$4:V$195,1),1,IF(Data!V121&lt;=MEDIAN(Data!V$4:V$195),2,IF(Data!V121&lt;=QUARTILE(Data!V$4:V$195,3),3,4)))</f>
        <v>2</v>
      </c>
      <c r="W121" s="28">
        <f>IF(Data!W121&lt;=QUARTILE(Data!W$4:W$195,1),1,IF(Data!W121&lt;=MEDIAN(Data!W$4:W$195),2,IF(Data!W121&lt;=QUARTILE(Data!W$4:W$195,3),3,4)))</f>
        <v>3</v>
      </c>
      <c r="X121" s="22">
        <f>IF(Data!X121&lt;=QUARTILE(Data!X$4:X$195,1),1,IF(Data!X121&lt;=MEDIAN(Data!X$4:X$195),2,IF(Data!X121&lt;=QUARTILE(Data!X$4:X$195,3),3,4)))</f>
        <v>3</v>
      </c>
      <c r="Y121" s="28">
        <f>IF(Data!Y121&lt;=QUARTILE(Data!Y$4:Y$195,1),1,IF(Data!Y121&lt;=MEDIAN(Data!Y$4:Y$195),2,IF(Data!Y121&lt;=QUARTILE(Data!Y$4:Y$195,3),3,4)))</f>
        <v>2</v>
      </c>
      <c r="Z121" s="22">
        <f>IF(Data!Z121&lt;=QUARTILE(Data!Z$4:Z$195,1),1,IF(Data!Z121&lt;=MEDIAN(Data!Z$4:Z$195),2,IF(Data!Z121&lt;=QUARTILE(Data!Z$4:Z$195,3),3,4)))</f>
        <v>1</v>
      </c>
      <c r="AA121" s="25">
        <f>IF(Data!AA121&lt;=QUARTILE(Data!AA$4:AA$195,1),1,IF(Data!AA121&lt;=MEDIAN(Data!AA$4:AA$195),2,IF(Data!AA121&lt;=QUARTILE(Data!AA$4:AA$195,3),3,4)))</f>
        <v>1</v>
      </c>
      <c r="AB121" s="22">
        <f>IF(Data!AB121&lt;=QUARTILE(Data!AB$4:AB$195,1),1,IF(Data!AB121&lt;=MEDIAN(Data!AB$4:AB$195),2,IF(Data!AB121&lt;=QUARTILE(Data!AB$4:AB$195,3),3,4)))</f>
        <v>2</v>
      </c>
      <c r="AC121" s="25">
        <f>IF(Data!AC121&lt;=QUARTILE(Data!AC$4:AC$195,1),1,IF(Data!AC121&lt;=MEDIAN(Data!AC$4:AC$195),2,IF(Data!AC121&lt;=QUARTILE(Data!AC$4:AC$195,3),3,4)))</f>
        <v>2</v>
      </c>
      <c r="AD121" s="22">
        <f>IF(Data!AD121&lt;=QUARTILE(Data!AD$4:AD$195,1),1,IF(Data!AD121&lt;=MEDIAN(Data!AD$4:AD$195),2,IF(Data!AD121&lt;=QUARTILE(Data!AD$4:AD$195,3),3,4)))</f>
        <v>2</v>
      </c>
      <c r="AE121" s="28">
        <f>IF(Data!AE121&lt;=QUARTILE(Data!AE$4:AE$195,1),1,IF(Data!AE121&lt;=MEDIAN(Data!AE$4:AE$195),2,IF(Data!AE121&lt;=QUARTILE(Data!AE$4:AE$195,3),3,4)))</f>
        <v>3</v>
      </c>
      <c r="AF121" s="28">
        <f>IF(Data!AF121&lt;=QUARTILE(Data!AF$4:AF$195,1),1,IF(Data!AF121&lt;=MEDIAN(Data!AF$4:AF$195),2,IF(Data!AF121&lt;=QUARTILE(Data!AF$4:AF$195,3),3,4)))</f>
        <v>3</v>
      </c>
      <c r="AG121" s="28">
        <f>IF(Data!AG121&lt;=QUARTILE(Data!AG$4:AG$195,1),1,IF(Data!AG121&lt;=MEDIAN(Data!AG$4:AG$195),2,IF(Data!AG121&lt;=QUARTILE(Data!AG$4:AG$195,3),3,4)))</f>
        <v>1</v>
      </c>
      <c r="AH121" s="22">
        <f>IF(Data!AH121&lt;=QUARTILE(Data!AH$4:AH$195,1),1,IF(Data!AH121&lt;=MEDIAN(Data!AH$4:AH$195),2,IF(Data!AH121&lt;=QUARTILE(Data!AH$4:AH$195,3),3,4)))</f>
        <v>1</v>
      </c>
      <c r="AI121" s="25">
        <f>IF(Data!AI121&lt;=QUARTILE(Data!AI$4:AI$195,1),1,IF(Data!AI121&lt;=MEDIAN(Data!AI$4:AI$195),2,IF(Data!AI121&lt;=QUARTILE(Data!AI$4:AI$195,3),3,4)))</f>
        <v>2</v>
      </c>
      <c r="AJ121" s="22">
        <f>IF(Data!AJ121&lt;=QUARTILE(Data!AJ$4:AJ$195,1),1,IF(Data!AJ121&lt;=MEDIAN(Data!AJ$4:AJ$195),2,IF(Data!AJ121&lt;=QUARTILE(Data!AJ$4:AJ$195,3),3,4)))</f>
        <v>3</v>
      </c>
      <c r="AK121" s="25">
        <f>IF(Data!AK121&lt;=QUARTILE(Data!AK$4:AK$195,1),1,IF(Data!AK121&lt;=MEDIAN(Data!AK$4:AK$195),2,IF(Data!AK121&lt;=QUARTILE(Data!AK$4:AK$195,3),3,4)))</f>
        <v>1</v>
      </c>
      <c r="AL121" s="28">
        <f>IF(Data!AL121&lt;=QUARTILE(Data!AL$4:AL$195,1),1,IF(Data!AL121&lt;=MEDIAN(Data!AL$4:AL$195),2,IF(Data!AL121&lt;=QUARTILE(Data!AL$4:AL$195,3),3,4)))</f>
        <v>3</v>
      </c>
      <c r="AM121" s="28">
        <f>IF(Data!AM121&lt;=QUARTILE(Data!AM$4:AM$195,1),1,IF(Data!AM121&lt;=MEDIAN(Data!AM$4:AM$195),2,IF(Data!AM121&lt;=QUARTILE(Data!AM$4:AM$195,3),3,4)))</f>
        <v>3</v>
      </c>
      <c r="AN121" s="22">
        <f>IF(Data!AN121&lt;=QUARTILE(Data!AN$4:AN$195,1),1,IF(Data!AN121&lt;=MEDIAN(Data!AN$4:AN$195),2,IF(Data!AN121&lt;=QUARTILE(Data!AN$4:AN$195,3),3,4)))</f>
        <v>3</v>
      </c>
      <c r="AO121" s="28">
        <f>IF(Data!AO121&lt;=QUARTILE(Data!AO$4:AO$195,1),1,IF(Data!AO121&lt;=MEDIAN(Data!AO$4:AO$195),2,IF(Data!AO121&lt;=QUARTILE(Data!AO$4:AO$195,3),3,4)))</f>
        <v>3</v>
      </c>
      <c r="AP121" s="28">
        <f>IF(Data!AP121&lt;=QUARTILE(Data!AP$4:AP$195,1),1,IF(Data!AP121&lt;=MEDIAN(Data!AP$4:AP$195),2,IF(Data!AP121&lt;=QUARTILE(Data!AP$4:AP$195,3),3,4)))</f>
        <v>3</v>
      </c>
      <c r="AQ121" s="28">
        <f>IF(Data!AQ121&lt;=QUARTILE(Data!AQ$4:AQ$195,1),1,IF(Data!AQ121&lt;=MEDIAN(Data!AQ$4:AQ$195),2,IF(Data!AQ121&lt;=QUARTILE(Data!AQ$4:AQ$195,3),3,4)))</f>
        <v>2</v>
      </c>
      <c r="AR121" s="28">
        <f>IF(Data!AR121&lt;=QUARTILE(Data!AR$4:AR$195,1),1,IF(Data!AR121&lt;=MEDIAN(Data!AR$4:AR$195),2,IF(Data!AR121&lt;=QUARTILE(Data!AR$4:AR$195,3),3,4)))</f>
        <v>2</v>
      </c>
      <c r="AS121" s="28">
        <f>IF(Data!AS121&lt;=QUARTILE(Data!AS$4:AS$195,1),1,IF(Data!AS121&lt;=MEDIAN(Data!AS$4:AS$195),2,IF(Data!AS121&lt;=QUARTILE(Data!AS$4:AS$195,3),3,4)))</f>
        <v>3</v>
      </c>
      <c r="AT121" s="28">
        <f>IF(Data!AT121&lt;=QUARTILE(Data!AT$4:AT$195,1),1,IF(Data!AT121&lt;=MEDIAN(Data!AT$4:AT$195),2,IF(Data!AT121&lt;=QUARTILE(Data!AT$4:AT$195,3),3,4)))</f>
        <v>2</v>
      </c>
      <c r="AU121" s="22">
        <f>IF(Data!AU121&lt;=QUARTILE(Data!AU$4:AU$195,1),1,IF(Data!AU121&lt;=MEDIAN(Data!AU$4:AU$195),2,IF(Data!AU121&lt;=QUARTILE(Data!AU$4:AU$195,3),3,4)))</f>
        <v>3</v>
      </c>
      <c r="AV121" s="25">
        <f>IF(Data!AV121&lt;=QUARTILE(Data!AV$4:AV$195,1),1,IF(Data!AV121&lt;=MEDIAN(Data!AV$4:AV$195),2,IF(Data!AV121&lt;=QUARTILE(Data!AV$4:AV$195,3),3,4)))</f>
        <v>3</v>
      </c>
      <c r="AW121" s="28">
        <f>IF(Data!AW121&lt;=QUARTILE(Data!AW$4:AW$195,1),1,IF(Data!AW121&lt;=MEDIAN(Data!AW$4:AW$195),2,IF(Data!AW121&lt;=QUARTILE(Data!AW$4:AW$195,3),3,4)))</f>
        <v>4</v>
      </c>
      <c r="AX121" s="28">
        <f>IF(Data!AX121&lt;=QUARTILE(Data!AX$4:AX$195,1),1,IF(Data!AX121&lt;=MEDIAN(Data!AX$4:AX$195),2,IF(Data!AX121&lt;=QUARTILE(Data!AX$4:AX$195,3),3,4)))</f>
        <v>3</v>
      </c>
      <c r="AY121" s="22">
        <f>IF(Data!AY121&lt;=QUARTILE(Data!AY$4:AY$195,1),1,IF(Data!AY121&lt;=MEDIAN(Data!AY$4:AY$195),2,IF(Data!AY121&lt;=QUARTILE(Data!AY$4:AY$195,3),3,4)))</f>
        <v>3</v>
      </c>
      <c r="AZ121" s="25">
        <f>IF(Data!AZ121&lt;=QUARTILE(Data!AZ$4:AZ$195,1),1,IF(Data!AZ121&lt;=MEDIAN(Data!AZ$4:AZ$195),2,IF(Data!AZ121&lt;=QUARTILE(Data!AZ$4:AZ$195,3),3,4)))</f>
        <v>2</v>
      </c>
      <c r="BA121" s="22">
        <f>IF(Data!BA121&lt;=QUARTILE(Data!BA$4:BA$195,1),1,IF(Data!BA121&lt;=MEDIAN(Data!BA$4:BA$195),2,IF(Data!BA121&lt;=QUARTILE(Data!BA$4:BA$195,3),3,4)))</f>
        <v>1</v>
      </c>
    </row>
    <row r="122" spans="1:53" x14ac:dyDescent="0.25">
      <c r="A122" s="4" t="s">
        <v>17</v>
      </c>
      <c r="B122" s="40">
        <v>2006</v>
      </c>
      <c r="C122" s="25">
        <v>2</v>
      </c>
      <c r="D122" s="28">
        <v>14</v>
      </c>
      <c r="E122" s="77" t="s">
        <v>96</v>
      </c>
      <c r="F122" s="28">
        <v>-9.6</v>
      </c>
      <c r="G122" s="28">
        <v>-10.3</v>
      </c>
      <c r="H122" s="22">
        <v>0.7</v>
      </c>
      <c r="I122" s="25">
        <f>IF(Data!I122&lt;=QUARTILE(Data!I$4:I$195,1),1,IF(Data!I122&lt;=MEDIAN(Data!I$4:I$195),2,IF(Data!I122&lt;=QUARTILE(Data!I$4:I$195,3),3,4)))</f>
        <v>1</v>
      </c>
      <c r="J122" s="28">
        <f>IF(Data!J122&lt;=QUARTILE(Data!J$4:J$195,1),1,IF(Data!J122&lt;=MEDIAN(Data!J$4:J$195),2,IF(Data!J122&lt;=QUARTILE(Data!J$4:J$195,3),3,4)))</f>
        <v>1</v>
      </c>
      <c r="K122" s="28">
        <f>IF(Data!K122&lt;=QUARTILE(Data!K$4:K$195,1),1,IF(Data!K122&lt;=MEDIAN(Data!K$4:K$195),2,IF(Data!K122&lt;=QUARTILE(Data!K$4:K$195,3),3,4)))</f>
        <v>1</v>
      </c>
      <c r="L122" s="22">
        <f>IF(Data!L122&lt;=QUARTILE(Data!L$4:L$195,1),1,IF(Data!L122&lt;=MEDIAN(Data!L$4:L$195),2,IF(Data!L122&lt;=QUARTILE(Data!L$4:L$195,3),3,4)))</f>
        <v>1</v>
      </c>
      <c r="M122" s="28">
        <f>IF(Data!M122&lt;=QUARTILE(Data!M$4:M$195,1),1,IF(Data!M122&lt;=MEDIAN(Data!M$4:M$195),2,IF(Data!M122&lt;=QUARTILE(Data!M$4:M$195,3),3,4)))</f>
        <v>1</v>
      </c>
      <c r="N122" s="28">
        <f>IF(Data!N122&lt;=QUARTILE(Data!N$4:N$195,1),1,IF(Data!N122&lt;=MEDIAN(Data!N$4:N$195),2,IF(Data!N122&lt;=QUARTILE(Data!N$4:N$195,3),3,4)))</f>
        <v>2</v>
      </c>
      <c r="O122" s="28">
        <f>IF(Data!O122&lt;=QUARTILE(Data!O$4:O$195,1),1,IF(Data!O122&lt;=MEDIAN(Data!O$4:O$195),2,IF(Data!O122&lt;=QUARTILE(Data!O$4:O$195,3),3,4)))</f>
        <v>1</v>
      </c>
      <c r="P122" s="28">
        <f>IF(Data!P122&lt;=QUARTILE(Data!P$4:P$195,1),1,IF(Data!P122&lt;=MEDIAN(Data!P$4:P$195),2,IF(Data!P122&lt;=QUARTILE(Data!P$4:P$195,3),3,4)))</f>
        <v>1</v>
      </c>
      <c r="Q122" s="28">
        <f>IF(Data!Q122&lt;=QUARTILE(Data!Q$4:Q$195,1),1,IF(Data!Q122&lt;=MEDIAN(Data!Q$4:Q$195),2,IF(Data!Q122&lt;=QUARTILE(Data!Q$4:Q$195,3),3,4)))</f>
        <v>1</v>
      </c>
      <c r="R122" s="28">
        <f>IF(Data!R122&lt;=QUARTILE(Data!R$4:R$195,1),1,IF(Data!R122&lt;=MEDIAN(Data!R$4:R$195),2,IF(Data!R122&lt;=QUARTILE(Data!R$4:R$195,3),3,4)))</f>
        <v>1</v>
      </c>
      <c r="S122" s="28">
        <f>IF(Data!S122&lt;=QUARTILE(Data!S$4:S$195,1),1,IF(Data!S122&lt;=MEDIAN(Data!S$4:S$195),2,IF(Data!S122&lt;=QUARTILE(Data!S$4:S$195,3),3,4)))</f>
        <v>4</v>
      </c>
      <c r="T122" s="22">
        <f>IF(Data!T122&lt;=QUARTILE(Data!T$4:T$195,1),1,IF(Data!T122&lt;=MEDIAN(Data!T$4:T$195),2,IF(Data!T122&lt;=QUARTILE(Data!T$4:T$195,3),3,4)))</f>
        <v>4</v>
      </c>
      <c r="U122" s="25">
        <f>IF(Data!U122&lt;=QUARTILE(Data!U$4:U$195,1),1,IF(Data!U122&lt;=MEDIAN(Data!U$4:U$195),2,IF(Data!U122&lt;=QUARTILE(Data!U$4:U$195,3),3,4)))</f>
        <v>1</v>
      </c>
      <c r="V122" s="28">
        <f>IF(Data!V122&lt;=QUARTILE(Data!V$4:V$195,1),1,IF(Data!V122&lt;=MEDIAN(Data!V$4:V$195),2,IF(Data!V122&lt;=QUARTILE(Data!V$4:V$195,3),3,4)))</f>
        <v>1</v>
      </c>
      <c r="W122" s="28">
        <f>IF(Data!W122&lt;=QUARTILE(Data!W$4:W$195,1),1,IF(Data!W122&lt;=MEDIAN(Data!W$4:W$195),2,IF(Data!W122&lt;=QUARTILE(Data!W$4:W$195,3),3,4)))</f>
        <v>1</v>
      </c>
      <c r="X122" s="22">
        <f>IF(Data!X122&lt;=QUARTILE(Data!X$4:X$195,1),1,IF(Data!X122&lt;=MEDIAN(Data!X$4:X$195),2,IF(Data!X122&lt;=QUARTILE(Data!X$4:X$195,3),3,4)))</f>
        <v>1</v>
      </c>
      <c r="Y122" s="28">
        <f>IF(Data!Y122&lt;=QUARTILE(Data!Y$4:Y$195,1),1,IF(Data!Y122&lt;=MEDIAN(Data!Y$4:Y$195),2,IF(Data!Y122&lt;=QUARTILE(Data!Y$4:Y$195,3),3,4)))</f>
        <v>4</v>
      </c>
      <c r="Z122" s="22">
        <f>IF(Data!Z122&lt;=QUARTILE(Data!Z$4:Z$195,1),1,IF(Data!Z122&lt;=MEDIAN(Data!Z$4:Z$195),2,IF(Data!Z122&lt;=QUARTILE(Data!Z$4:Z$195,3),3,4)))</f>
        <v>4</v>
      </c>
      <c r="AA122" s="25">
        <f>IF(Data!AA122&lt;=QUARTILE(Data!AA$4:AA$195,1),1,IF(Data!AA122&lt;=MEDIAN(Data!AA$4:AA$195),2,IF(Data!AA122&lt;=QUARTILE(Data!AA$4:AA$195,3),3,4)))</f>
        <v>2</v>
      </c>
      <c r="AB122" s="22">
        <f>IF(Data!AB122&lt;=QUARTILE(Data!AB$4:AB$195,1),1,IF(Data!AB122&lt;=MEDIAN(Data!AB$4:AB$195),2,IF(Data!AB122&lt;=QUARTILE(Data!AB$4:AB$195,3),3,4)))</f>
        <v>1</v>
      </c>
      <c r="AC122" s="25">
        <f>IF(Data!AC122&lt;=QUARTILE(Data!AC$4:AC$195,1),1,IF(Data!AC122&lt;=MEDIAN(Data!AC$4:AC$195),2,IF(Data!AC122&lt;=QUARTILE(Data!AC$4:AC$195,3),3,4)))</f>
        <v>3</v>
      </c>
      <c r="AD122" s="22">
        <f>IF(Data!AD122&lt;=QUARTILE(Data!AD$4:AD$195,1),1,IF(Data!AD122&lt;=MEDIAN(Data!AD$4:AD$195),2,IF(Data!AD122&lt;=QUARTILE(Data!AD$4:AD$195,3),3,4)))</f>
        <v>4</v>
      </c>
      <c r="AE122" s="28">
        <f>IF(Data!AE122&lt;=QUARTILE(Data!AE$4:AE$195,1),1,IF(Data!AE122&lt;=MEDIAN(Data!AE$4:AE$195),2,IF(Data!AE122&lt;=QUARTILE(Data!AE$4:AE$195,3),3,4)))</f>
        <v>1</v>
      </c>
      <c r="AF122" s="28">
        <f>IF(Data!AF122&lt;=QUARTILE(Data!AF$4:AF$195,1),1,IF(Data!AF122&lt;=MEDIAN(Data!AF$4:AF$195),2,IF(Data!AF122&lt;=QUARTILE(Data!AF$4:AF$195,3),3,4)))</f>
        <v>1</v>
      </c>
      <c r="AG122" s="28">
        <f>IF(Data!AG122&lt;=QUARTILE(Data!AG$4:AG$195,1),1,IF(Data!AG122&lt;=MEDIAN(Data!AG$4:AG$195),2,IF(Data!AG122&lt;=QUARTILE(Data!AG$4:AG$195,3),3,4)))</f>
        <v>2</v>
      </c>
      <c r="AH122" s="22">
        <f>IF(Data!AH122&lt;=QUARTILE(Data!AH$4:AH$195,1),1,IF(Data!AH122&lt;=MEDIAN(Data!AH$4:AH$195),2,IF(Data!AH122&lt;=QUARTILE(Data!AH$4:AH$195,3),3,4)))</f>
        <v>1</v>
      </c>
      <c r="AI122" s="25">
        <f>IF(Data!AI122&lt;=QUARTILE(Data!AI$4:AI$195,1),1,IF(Data!AI122&lt;=MEDIAN(Data!AI$4:AI$195),2,IF(Data!AI122&lt;=QUARTILE(Data!AI$4:AI$195,3),3,4)))</f>
        <v>3</v>
      </c>
      <c r="AJ122" s="22">
        <f>IF(Data!AJ122&lt;=QUARTILE(Data!AJ$4:AJ$195,1),1,IF(Data!AJ122&lt;=MEDIAN(Data!AJ$4:AJ$195),2,IF(Data!AJ122&lt;=QUARTILE(Data!AJ$4:AJ$195,3),3,4)))</f>
        <v>4</v>
      </c>
      <c r="AK122" s="25">
        <f>IF(Data!AK122&lt;=QUARTILE(Data!AK$4:AK$195,1),1,IF(Data!AK122&lt;=MEDIAN(Data!AK$4:AK$195),2,IF(Data!AK122&lt;=QUARTILE(Data!AK$4:AK$195,3),3,4)))</f>
        <v>2</v>
      </c>
      <c r="AL122" s="28">
        <f>IF(Data!AL122&lt;=QUARTILE(Data!AL$4:AL$195,1),1,IF(Data!AL122&lt;=MEDIAN(Data!AL$4:AL$195),2,IF(Data!AL122&lt;=QUARTILE(Data!AL$4:AL$195,3),3,4)))</f>
        <v>1</v>
      </c>
      <c r="AM122" s="28">
        <f>IF(Data!AM122&lt;=QUARTILE(Data!AM$4:AM$195,1),1,IF(Data!AM122&lt;=MEDIAN(Data!AM$4:AM$195),2,IF(Data!AM122&lt;=QUARTILE(Data!AM$4:AM$195,3),3,4)))</f>
        <v>2</v>
      </c>
      <c r="AN122" s="22">
        <f>IF(Data!AN122&lt;=QUARTILE(Data!AN$4:AN$195,1),1,IF(Data!AN122&lt;=MEDIAN(Data!AN$4:AN$195),2,IF(Data!AN122&lt;=QUARTILE(Data!AN$4:AN$195,3),3,4)))</f>
        <v>1</v>
      </c>
      <c r="AO122" s="28">
        <f>IF(Data!AO122&lt;=QUARTILE(Data!AO$4:AO$195,1),1,IF(Data!AO122&lt;=MEDIAN(Data!AO$4:AO$195),2,IF(Data!AO122&lt;=QUARTILE(Data!AO$4:AO$195,3),3,4)))</f>
        <v>1</v>
      </c>
      <c r="AP122" s="28">
        <f>IF(Data!AP122&lt;=QUARTILE(Data!AP$4:AP$195,1),1,IF(Data!AP122&lt;=MEDIAN(Data!AP$4:AP$195),2,IF(Data!AP122&lt;=QUARTILE(Data!AP$4:AP$195,3),3,4)))</f>
        <v>1</v>
      </c>
      <c r="AQ122" s="28">
        <f>IF(Data!AQ122&lt;=QUARTILE(Data!AQ$4:AQ$195,1),1,IF(Data!AQ122&lt;=MEDIAN(Data!AQ$4:AQ$195),2,IF(Data!AQ122&lt;=QUARTILE(Data!AQ$4:AQ$195,3),3,4)))</f>
        <v>1</v>
      </c>
      <c r="AR122" s="28">
        <f>IF(Data!AR122&lt;=QUARTILE(Data!AR$4:AR$195,1),1,IF(Data!AR122&lt;=MEDIAN(Data!AR$4:AR$195),2,IF(Data!AR122&lt;=QUARTILE(Data!AR$4:AR$195,3),3,4)))</f>
        <v>1</v>
      </c>
      <c r="AS122" s="28">
        <f>IF(Data!AS122&lt;=QUARTILE(Data!AS$4:AS$195,1),1,IF(Data!AS122&lt;=MEDIAN(Data!AS$4:AS$195),2,IF(Data!AS122&lt;=QUARTILE(Data!AS$4:AS$195,3),3,4)))</f>
        <v>1</v>
      </c>
      <c r="AT122" s="28">
        <f>IF(Data!AT122&lt;=QUARTILE(Data!AT$4:AT$195,1),1,IF(Data!AT122&lt;=MEDIAN(Data!AT$4:AT$195),2,IF(Data!AT122&lt;=QUARTILE(Data!AT$4:AT$195,3),3,4)))</f>
        <v>2</v>
      </c>
      <c r="AU122" s="22">
        <f>IF(Data!AU122&lt;=QUARTILE(Data!AU$4:AU$195,1),1,IF(Data!AU122&lt;=MEDIAN(Data!AU$4:AU$195),2,IF(Data!AU122&lt;=QUARTILE(Data!AU$4:AU$195,3),3,4)))</f>
        <v>2</v>
      </c>
      <c r="AV122" s="25">
        <f>IF(Data!AV122&lt;=QUARTILE(Data!AV$4:AV$195,1),1,IF(Data!AV122&lt;=MEDIAN(Data!AV$4:AV$195),2,IF(Data!AV122&lt;=QUARTILE(Data!AV$4:AV$195,3),3,4)))</f>
        <v>4</v>
      </c>
      <c r="AW122" s="28">
        <f>IF(Data!AW122&lt;=QUARTILE(Data!AW$4:AW$195,1),1,IF(Data!AW122&lt;=MEDIAN(Data!AW$4:AW$195),2,IF(Data!AW122&lt;=QUARTILE(Data!AW$4:AW$195,3),3,4)))</f>
        <v>4</v>
      </c>
      <c r="AX122" s="28">
        <f>IF(Data!AX122&lt;=QUARTILE(Data!AX$4:AX$195,1),1,IF(Data!AX122&lt;=MEDIAN(Data!AX$4:AX$195),2,IF(Data!AX122&lt;=QUARTILE(Data!AX$4:AX$195,3),3,4)))</f>
        <v>3</v>
      </c>
      <c r="AY122" s="22">
        <f>IF(Data!AY122&lt;=QUARTILE(Data!AY$4:AY$195,1),1,IF(Data!AY122&lt;=MEDIAN(Data!AY$4:AY$195),2,IF(Data!AY122&lt;=QUARTILE(Data!AY$4:AY$195,3),3,4)))</f>
        <v>3</v>
      </c>
      <c r="AZ122" s="25">
        <f>IF(Data!AZ122&lt;=QUARTILE(Data!AZ$4:AZ$195,1),1,IF(Data!AZ122&lt;=MEDIAN(Data!AZ$4:AZ$195),2,IF(Data!AZ122&lt;=QUARTILE(Data!AZ$4:AZ$195,3),3,4)))</f>
        <v>3</v>
      </c>
      <c r="BA122" s="22">
        <f>IF(Data!BA122&lt;=QUARTILE(Data!BA$4:BA$195,1),1,IF(Data!BA122&lt;=MEDIAN(Data!BA$4:BA$195),2,IF(Data!BA122&lt;=QUARTILE(Data!BA$4:BA$195,3),3,4)))</f>
        <v>1</v>
      </c>
    </row>
    <row r="123" spans="1:53" x14ac:dyDescent="0.25">
      <c r="A123" s="4" t="s">
        <v>20</v>
      </c>
      <c r="B123" s="40">
        <v>2006</v>
      </c>
      <c r="C123" s="25">
        <v>10</v>
      </c>
      <c r="D123" s="28">
        <v>6</v>
      </c>
      <c r="E123" s="77" t="s">
        <v>97</v>
      </c>
      <c r="F123" s="28">
        <v>3.4</v>
      </c>
      <c r="G123" s="28">
        <v>3.2</v>
      </c>
      <c r="H123" s="22">
        <v>0.2</v>
      </c>
      <c r="I123" s="25">
        <f>IF(Data!I123&lt;=QUARTILE(Data!I$4:I$195,1),1,IF(Data!I123&lt;=MEDIAN(Data!I$4:I$195),2,IF(Data!I123&lt;=QUARTILE(Data!I$4:I$195,3),3,4)))</f>
        <v>4</v>
      </c>
      <c r="J123" s="28">
        <f>IF(Data!J123&lt;=QUARTILE(Data!J$4:J$195,1),1,IF(Data!J123&lt;=MEDIAN(Data!J$4:J$195),2,IF(Data!J123&lt;=QUARTILE(Data!J$4:J$195,3),3,4)))</f>
        <v>4</v>
      </c>
      <c r="K123" s="28">
        <f>IF(Data!K123&lt;=QUARTILE(Data!K$4:K$195,1),1,IF(Data!K123&lt;=MEDIAN(Data!K$4:K$195),2,IF(Data!K123&lt;=QUARTILE(Data!K$4:K$195,3),3,4)))</f>
        <v>2</v>
      </c>
      <c r="L123" s="22">
        <f>IF(Data!L123&lt;=QUARTILE(Data!L$4:L$195,1),1,IF(Data!L123&lt;=MEDIAN(Data!L$4:L$195),2,IF(Data!L123&lt;=QUARTILE(Data!L$4:L$195,3),3,4)))</f>
        <v>3</v>
      </c>
      <c r="M123" s="28">
        <f>IF(Data!M123&lt;=QUARTILE(Data!M$4:M$195,1),1,IF(Data!M123&lt;=MEDIAN(Data!M$4:M$195),2,IF(Data!M123&lt;=QUARTILE(Data!M$4:M$195,3),3,4)))</f>
        <v>3</v>
      </c>
      <c r="N123" s="28">
        <f>IF(Data!N123&lt;=QUARTILE(Data!N$4:N$195,1),1,IF(Data!N123&lt;=MEDIAN(Data!N$4:N$195),2,IF(Data!N123&lt;=QUARTILE(Data!N$4:N$195,3),3,4)))</f>
        <v>3</v>
      </c>
      <c r="O123" s="28">
        <f>IF(Data!O123&lt;=QUARTILE(Data!O$4:O$195,1),1,IF(Data!O123&lt;=MEDIAN(Data!O$4:O$195),2,IF(Data!O123&lt;=QUARTILE(Data!O$4:O$195,3),3,4)))</f>
        <v>4</v>
      </c>
      <c r="P123" s="28">
        <f>IF(Data!P123&lt;=QUARTILE(Data!P$4:P$195,1),1,IF(Data!P123&lt;=MEDIAN(Data!P$4:P$195),2,IF(Data!P123&lt;=QUARTILE(Data!P$4:P$195,3),3,4)))</f>
        <v>4</v>
      </c>
      <c r="Q123" s="28">
        <f>IF(Data!Q123&lt;=QUARTILE(Data!Q$4:Q$195,1),1,IF(Data!Q123&lt;=MEDIAN(Data!Q$4:Q$195),2,IF(Data!Q123&lt;=QUARTILE(Data!Q$4:Q$195,3),3,4)))</f>
        <v>3</v>
      </c>
      <c r="R123" s="28">
        <f>IF(Data!R123&lt;=QUARTILE(Data!R$4:R$195,1),1,IF(Data!R123&lt;=MEDIAN(Data!R$4:R$195),2,IF(Data!R123&lt;=QUARTILE(Data!R$4:R$195,3),3,4)))</f>
        <v>4</v>
      </c>
      <c r="S123" s="28">
        <f>IF(Data!S123&lt;=QUARTILE(Data!S$4:S$195,1),1,IF(Data!S123&lt;=MEDIAN(Data!S$4:S$195),2,IF(Data!S123&lt;=QUARTILE(Data!S$4:S$195,3),3,4)))</f>
        <v>1</v>
      </c>
      <c r="T123" s="22">
        <f>IF(Data!T123&lt;=QUARTILE(Data!T$4:T$195,1),1,IF(Data!T123&lt;=MEDIAN(Data!T$4:T$195),2,IF(Data!T123&lt;=QUARTILE(Data!T$4:T$195,3),3,4)))</f>
        <v>2</v>
      </c>
      <c r="U123" s="25">
        <f>IF(Data!U123&lt;=QUARTILE(Data!U$4:U$195,1),1,IF(Data!U123&lt;=MEDIAN(Data!U$4:U$195),2,IF(Data!U123&lt;=QUARTILE(Data!U$4:U$195,3),3,4)))</f>
        <v>2</v>
      </c>
      <c r="V123" s="28">
        <f>IF(Data!V123&lt;=QUARTILE(Data!V$4:V$195,1),1,IF(Data!V123&lt;=MEDIAN(Data!V$4:V$195),2,IF(Data!V123&lt;=QUARTILE(Data!V$4:V$195,3),3,4)))</f>
        <v>3</v>
      </c>
      <c r="W123" s="28">
        <f>IF(Data!W123&lt;=QUARTILE(Data!W$4:W$195,1),1,IF(Data!W123&lt;=MEDIAN(Data!W$4:W$195),2,IF(Data!W123&lt;=QUARTILE(Data!W$4:W$195,3),3,4)))</f>
        <v>2</v>
      </c>
      <c r="X123" s="22">
        <f>IF(Data!X123&lt;=QUARTILE(Data!X$4:X$195,1),1,IF(Data!X123&lt;=MEDIAN(Data!X$4:X$195),2,IF(Data!X123&lt;=QUARTILE(Data!X$4:X$195,3),3,4)))</f>
        <v>3</v>
      </c>
      <c r="Y123" s="28">
        <f>IF(Data!Y123&lt;=QUARTILE(Data!Y$4:Y$195,1),1,IF(Data!Y123&lt;=MEDIAN(Data!Y$4:Y$195),2,IF(Data!Y123&lt;=QUARTILE(Data!Y$4:Y$195,3),3,4)))</f>
        <v>1</v>
      </c>
      <c r="Z123" s="22">
        <f>IF(Data!Z123&lt;=QUARTILE(Data!Z$4:Z$195,1),1,IF(Data!Z123&lt;=MEDIAN(Data!Z$4:Z$195),2,IF(Data!Z123&lt;=QUARTILE(Data!Z$4:Z$195,3),3,4)))</f>
        <v>3</v>
      </c>
      <c r="AA123" s="25">
        <f>IF(Data!AA123&lt;=QUARTILE(Data!AA$4:AA$195,1),1,IF(Data!AA123&lt;=MEDIAN(Data!AA$4:AA$195),2,IF(Data!AA123&lt;=QUARTILE(Data!AA$4:AA$195,3),3,4)))</f>
        <v>2</v>
      </c>
      <c r="AB123" s="22">
        <f>IF(Data!AB123&lt;=QUARTILE(Data!AB$4:AB$195,1),1,IF(Data!AB123&lt;=MEDIAN(Data!AB$4:AB$195),2,IF(Data!AB123&lt;=QUARTILE(Data!AB$4:AB$195,3),3,4)))</f>
        <v>3</v>
      </c>
      <c r="AC123" s="25">
        <f>IF(Data!AC123&lt;=QUARTILE(Data!AC$4:AC$195,1),1,IF(Data!AC123&lt;=MEDIAN(Data!AC$4:AC$195),2,IF(Data!AC123&lt;=QUARTILE(Data!AC$4:AC$195,3),3,4)))</f>
        <v>1</v>
      </c>
      <c r="AD123" s="22">
        <f>IF(Data!AD123&lt;=QUARTILE(Data!AD$4:AD$195,1),1,IF(Data!AD123&lt;=MEDIAN(Data!AD$4:AD$195),2,IF(Data!AD123&lt;=QUARTILE(Data!AD$4:AD$195,3),3,4)))</f>
        <v>1</v>
      </c>
      <c r="AE123" s="28">
        <f>IF(Data!AE123&lt;=QUARTILE(Data!AE$4:AE$195,1),1,IF(Data!AE123&lt;=MEDIAN(Data!AE$4:AE$195),2,IF(Data!AE123&lt;=QUARTILE(Data!AE$4:AE$195,3),3,4)))</f>
        <v>1</v>
      </c>
      <c r="AF123" s="28">
        <f>IF(Data!AF123&lt;=QUARTILE(Data!AF$4:AF$195,1),1,IF(Data!AF123&lt;=MEDIAN(Data!AF$4:AF$195),2,IF(Data!AF123&lt;=QUARTILE(Data!AF$4:AF$195,3),3,4)))</f>
        <v>1</v>
      </c>
      <c r="AG123" s="28">
        <f>IF(Data!AG123&lt;=QUARTILE(Data!AG$4:AG$195,1),1,IF(Data!AG123&lt;=MEDIAN(Data!AG$4:AG$195),2,IF(Data!AG123&lt;=QUARTILE(Data!AG$4:AG$195,3),3,4)))</f>
        <v>1</v>
      </c>
      <c r="AH123" s="22">
        <f>IF(Data!AH123&lt;=QUARTILE(Data!AH$4:AH$195,1),1,IF(Data!AH123&lt;=MEDIAN(Data!AH$4:AH$195),2,IF(Data!AH123&lt;=QUARTILE(Data!AH$4:AH$195,3),3,4)))</f>
        <v>1</v>
      </c>
      <c r="AI123" s="25">
        <f>IF(Data!AI123&lt;=QUARTILE(Data!AI$4:AI$195,1),1,IF(Data!AI123&lt;=MEDIAN(Data!AI$4:AI$195),2,IF(Data!AI123&lt;=QUARTILE(Data!AI$4:AI$195,3),3,4)))</f>
        <v>3</v>
      </c>
      <c r="AJ123" s="22">
        <f>IF(Data!AJ123&lt;=QUARTILE(Data!AJ$4:AJ$195,1),1,IF(Data!AJ123&lt;=MEDIAN(Data!AJ$4:AJ$195),2,IF(Data!AJ123&lt;=QUARTILE(Data!AJ$4:AJ$195,3),3,4)))</f>
        <v>3</v>
      </c>
      <c r="AK123" s="25">
        <f>IF(Data!AK123&lt;=QUARTILE(Data!AK$4:AK$195,1),1,IF(Data!AK123&lt;=MEDIAN(Data!AK$4:AK$195),2,IF(Data!AK123&lt;=QUARTILE(Data!AK$4:AK$195,3),3,4)))</f>
        <v>2</v>
      </c>
      <c r="AL123" s="28">
        <f>IF(Data!AL123&lt;=QUARTILE(Data!AL$4:AL$195,1),1,IF(Data!AL123&lt;=MEDIAN(Data!AL$4:AL$195),2,IF(Data!AL123&lt;=QUARTILE(Data!AL$4:AL$195,3),3,4)))</f>
        <v>3</v>
      </c>
      <c r="AM123" s="28">
        <f>IF(Data!AM123&lt;=QUARTILE(Data!AM$4:AM$195,1),1,IF(Data!AM123&lt;=MEDIAN(Data!AM$4:AM$195),2,IF(Data!AM123&lt;=QUARTILE(Data!AM$4:AM$195,3),3,4)))</f>
        <v>4</v>
      </c>
      <c r="AN123" s="22">
        <f>IF(Data!AN123&lt;=QUARTILE(Data!AN$4:AN$195,1),1,IF(Data!AN123&lt;=MEDIAN(Data!AN$4:AN$195),2,IF(Data!AN123&lt;=QUARTILE(Data!AN$4:AN$195,3),3,4)))</f>
        <v>3</v>
      </c>
      <c r="AO123" s="28">
        <f>IF(Data!AO123&lt;=QUARTILE(Data!AO$4:AO$195,1),1,IF(Data!AO123&lt;=MEDIAN(Data!AO$4:AO$195),2,IF(Data!AO123&lt;=QUARTILE(Data!AO$4:AO$195,3),3,4)))</f>
        <v>2</v>
      </c>
      <c r="AP123" s="28">
        <f>IF(Data!AP123&lt;=QUARTILE(Data!AP$4:AP$195,1),1,IF(Data!AP123&lt;=MEDIAN(Data!AP$4:AP$195),2,IF(Data!AP123&lt;=QUARTILE(Data!AP$4:AP$195,3),3,4)))</f>
        <v>3</v>
      </c>
      <c r="AQ123" s="28">
        <f>IF(Data!AQ123&lt;=QUARTILE(Data!AQ$4:AQ$195,1),1,IF(Data!AQ123&lt;=MEDIAN(Data!AQ$4:AQ$195),2,IF(Data!AQ123&lt;=QUARTILE(Data!AQ$4:AQ$195,3),3,4)))</f>
        <v>1</v>
      </c>
      <c r="AR123" s="28">
        <f>IF(Data!AR123&lt;=QUARTILE(Data!AR$4:AR$195,1),1,IF(Data!AR123&lt;=MEDIAN(Data!AR$4:AR$195),2,IF(Data!AR123&lt;=QUARTILE(Data!AR$4:AR$195,3),3,4)))</f>
        <v>1</v>
      </c>
      <c r="AS123" s="28">
        <f>IF(Data!AS123&lt;=QUARTILE(Data!AS$4:AS$195,1),1,IF(Data!AS123&lt;=MEDIAN(Data!AS$4:AS$195),2,IF(Data!AS123&lt;=QUARTILE(Data!AS$4:AS$195,3),3,4)))</f>
        <v>1</v>
      </c>
      <c r="AT123" s="28">
        <f>IF(Data!AT123&lt;=QUARTILE(Data!AT$4:AT$195,1),1,IF(Data!AT123&lt;=MEDIAN(Data!AT$4:AT$195),2,IF(Data!AT123&lt;=QUARTILE(Data!AT$4:AT$195,3),3,4)))</f>
        <v>3</v>
      </c>
      <c r="AU123" s="22">
        <f>IF(Data!AU123&lt;=QUARTILE(Data!AU$4:AU$195,1),1,IF(Data!AU123&lt;=MEDIAN(Data!AU$4:AU$195),2,IF(Data!AU123&lt;=QUARTILE(Data!AU$4:AU$195,3),3,4)))</f>
        <v>4</v>
      </c>
      <c r="AV123" s="25">
        <f>IF(Data!AV123&lt;=QUARTILE(Data!AV$4:AV$195,1),1,IF(Data!AV123&lt;=MEDIAN(Data!AV$4:AV$195),2,IF(Data!AV123&lt;=QUARTILE(Data!AV$4:AV$195,3),3,4)))</f>
        <v>4</v>
      </c>
      <c r="AW123" s="28">
        <f>IF(Data!AW123&lt;=QUARTILE(Data!AW$4:AW$195,1),1,IF(Data!AW123&lt;=MEDIAN(Data!AW$4:AW$195),2,IF(Data!AW123&lt;=QUARTILE(Data!AW$4:AW$195,3),3,4)))</f>
        <v>4</v>
      </c>
      <c r="AX123" s="28">
        <f>IF(Data!AX123&lt;=QUARTILE(Data!AX$4:AX$195,1),1,IF(Data!AX123&lt;=MEDIAN(Data!AX$4:AX$195),2,IF(Data!AX123&lt;=QUARTILE(Data!AX$4:AX$195,3),3,4)))</f>
        <v>2</v>
      </c>
      <c r="AY123" s="22">
        <f>IF(Data!AY123&lt;=QUARTILE(Data!AY$4:AY$195,1),1,IF(Data!AY123&lt;=MEDIAN(Data!AY$4:AY$195),2,IF(Data!AY123&lt;=QUARTILE(Data!AY$4:AY$195,3),3,4)))</f>
        <v>4</v>
      </c>
      <c r="AZ123" s="25">
        <f>IF(Data!AZ123&lt;=QUARTILE(Data!AZ$4:AZ$195,1),1,IF(Data!AZ123&lt;=MEDIAN(Data!AZ$4:AZ$195),2,IF(Data!AZ123&lt;=QUARTILE(Data!AZ$4:AZ$195,3),3,4)))</f>
        <v>3</v>
      </c>
      <c r="BA123" s="22">
        <f>IF(Data!BA123&lt;=QUARTILE(Data!BA$4:BA$195,1),1,IF(Data!BA123&lt;=MEDIAN(Data!BA$4:BA$195),2,IF(Data!BA123&lt;=QUARTILE(Data!BA$4:BA$195,3),3,4)))</f>
        <v>2</v>
      </c>
    </row>
    <row r="124" spans="1:53" x14ac:dyDescent="0.25">
      <c r="A124" s="4" t="s">
        <v>9</v>
      </c>
      <c r="B124" s="40">
        <v>2006</v>
      </c>
      <c r="C124" s="25">
        <v>8</v>
      </c>
      <c r="D124" s="28">
        <v>8</v>
      </c>
      <c r="E124" s="77" t="s">
        <v>96</v>
      </c>
      <c r="F124" s="28">
        <v>3.4</v>
      </c>
      <c r="G124" s="28">
        <v>3</v>
      </c>
      <c r="H124" s="22">
        <v>0.4</v>
      </c>
      <c r="I124" s="25">
        <f>IF(Data!I124&lt;=QUARTILE(Data!I$4:I$195,1),1,IF(Data!I124&lt;=MEDIAN(Data!I$4:I$195),2,IF(Data!I124&lt;=QUARTILE(Data!I$4:I$195,3),3,4)))</f>
        <v>3</v>
      </c>
      <c r="J124" s="28">
        <f>IF(Data!J124&lt;=QUARTILE(Data!J$4:J$195,1),1,IF(Data!J124&lt;=MEDIAN(Data!J$4:J$195),2,IF(Data!J124&lt;=QUARTILE(Data!J$4:J$195,3),3,4)))</f>
        <v>4</v>
      </c>
      <c r="K124" s="28">
        <f>IF(Data!K124&lt;=QUARTILE(Data!K$4:K$195,1),1,IF(Data!K124&lt;=MEDIAN(Data!K$4:K$195),2,IF(Data!K124&lt;=QUARTILE(Data!K$4:K$195,3),3,4)))</f>
        <v>4</v>
      </c>
      <c r="L124" s="22">
        <f>IF(Data!L124&lt;=QUARTILE(Data!L$4:L$195,1),1,IF(Data!L124&lt;=MEDIAN(Data!L$4:L$195),2,IF(Data!L124&lt;=QUARTILE(Data!L$4:L$195,3),3,4)))</f>
        <v>4</v>
      </c>
      <c r="M124" s="28">
        <f>IF(Data!M124&lt;=QUARTILE(Data!M$4:M$195,1),1,IF(Data!M124&lt;=MEDIAN(Data!M$4:M$195),2,IF(Data!M124&lt;=QUARTILE(Data!M$4:M$195,3),3,4)))</f>
        <v>2</v>
      </c>
      <c r="N124" s="28">
        <f>IF(Data!N124&lt;=QUARTILE(Data!N$4:N$195,1),1,IF(Data!N124&lt;=MEDIAN(Data!N$4:N$195),2,IF(Data!N124&lt;=QUARTILE(Data!N$4:N$195,3),3,4)))</f>
        <v>2</v>
      </c>
      <c r="O124" s="28">
        <f>IF(Data!O124&lt;=QUARTILE(Data!O$4:O$195,1),1,IF(Data!O124&lt;=MEDIAN(Data!O$4:O$195),2,IF(Data!O124&lt;=QUARTILE(Data!O$4:O$195,3),3,4)))</f>
        <v>3</v>
      </c>
      <c r="P124" s="28">
        <f>IF(Data!P124&lt;=QUARTILE(Data!P$4:P$195,1),1,IF(Data!P124&lt;=MEDIAN(Data!P$4:P$195),2,IF(Data!P124&lt;=QUARTILE(Data!P$4:P$195,3),3,4)))</f>
        <v>3</v>
      </c>
      <c r="Q124" s="28">
        <f>IF(Data!Q124&lt;=QUARTILE(Data!Q$4:Q$195,1),1,IF(Data!Q124&lt;=MEDIAN(Data!Q$4:Q$195),2,IF(Data!Q124&lt;=QUARTILE(Data!Q$4:Q$195,3),3,4)))</f>
        <v>4</v>
      </c>
      <c r="R124" s="28">
        <f>IF(Data!R124&lt;=QUARTILE(Data!R$4:R$195,1),1,IF(Data!R124&lt;=MEDIAN(Data!R$4:R$195),2,IF(Data!R124&lt;=QUARTILE(Data!R$4:R$195,3),3,4)))</f>
        <v>2</v>
      </c>
      <c r="S124" s="28">
        <f>IF(Data!S124&lt;=QUARTILE(Data!S$4:S$195,1),1,IF(Data!S124&lt;=MEDIAN(Data!S$4:S$195),2,IF(Data!S124&lt;=QUARTILE(Data!S$4:S$195,3),3,4)))</f>
        <v>4</v>
      </c>
      <c r="T124" s="22">
        <f>IF(Data!T124&lt;=QUARTILE(Data!T$4:T$195,1),1,IF(Data!T124&lt;=MEDIAN(Data!T$4:T$195),2,IF(Data!T124&lt;=QUARTILE(Data!T$4:T$195,3),3,4)))</f>
        <v>4</v>
      </c>
      <c r="U124" s="25">
        <f>IF(Data!U124&lt;=QUARTILE(Data!U$4:U$195,1),1,IF(Data!U124&lt;=MEDIAN(Data!U$4:U$195),2,IF(Data!U124&lt;=QUARTILE(Data!U$4:U$195,3),3,4)))</f>
        <v>3</v>
      </c>
      <c r="V124" s="28">
        <f>IF(Data!V124&lt;=QUARTILE(Data!V$4:V$195,1),1,IF(Data!V124&lt;=MEDIAN(Data!V$4:V$195),2,IF(Data!V124&lt;=QUARTILE(Data!V$4:V$195,3),3,4)))</f>
        <v>3</v>
      </c>
      <c r="W124" s="28">
        <f>IF(Data!W124&lt;=QUARTILE(Data!W$4:W$195,1),1,IF(Data!W124&lt;=MEDIAN(Data!W$4:W$195),2,IF(Data!W124&lt;=QUARTILE(Data!W$4:W$195,3),3,4)))</f>
        <v>3</v>
      </c>
      <c r="X124" s="22">
        <f>IF(Data!X124&lt;=QUARTILE(Data!X$4:X$195,1),1,IF(Data!X124&lt;=MEDIAN(Data!X$4:X$195),2,IF(Data!X124&lt;=QUARTILE(Data!X$4:X$195,3),3,4)))</f>
        <v>3</v>
      </c>
      <c r="Y124" s="28">
        <f>IF(Data!Y124&lt;=QUARTILE(Data!Y$4:Y$195,1),1,IF(Data!Y124&lt;=MEDIAN(Data!Y$4:Y$195),2,IF(Data!Y124&lt;=QUARTILE(Data!Y$4:Y$195,3),3,4)))</f>
        <v>4</v>
      </c>
      <c r="Z124" s="22">
        <f>IF(Data!Z124&lt;=QUARTILE(Data!Z$4:Z$195,1),1,IF(Data!Z124&lt;=MEDIAN(Data!Z$4:Z$195),2,IF(Data!Z124&lt;=QUARTILE(Data!Z$4:Z$195,3),3,4)))</f>
        <v>3</v>
      </c>
      <c r="AA124" s="25">
        <f>IF(Data!AA124&lt;=QUARTILE(Data!AA$4:AA$195,1),1,IF(Data!AA124&lt;=MEDIAN(Data!AA$4:AA$195),2,IF(Data!AA124&lt;=QUARTILE(Data!AA$4:AA$195,3),3,4)))</f>
        <v>2</v>
      </c>
      <c r="AB124" s="22">
        <f>IF(Data!AB124&lt;=QUARTILE(Data!AB$4:AB$195,1),1,IF(Data!AB124&lt;=MEDIAN(Data!AB$4:AB$195),2,IF(Data!AB124&lt;=QUARTILE(Data!AB$4:AB$195,3),3,4)))</f>
        <v>2</v>
      </c>
      <c r="AC124" s="25">
        <f>IF(Data!AC124&lt;=QUARTILE(Data!AC$4:AC$195,1),1,IF(Data!AC124&lt;=MEDIAN(Data!AC$4:AC$195),2,IF(Data!AC124&lt;=QUARTILE(Data!AC$4:AC$195,3),3,4)))</f>
        <v>1</v>
      </c>
      <c r="AD124" s="22">
        <f>IF(Data!AD124&lt;=QUARTILE(Data!AD$4:AD$195,1),1,IF(Data!AD124&lt;=MEDIAN(Data!AD$4:AD$195),2,IF(Data!AD124&lt;=QUARTILE(Data!AD$4:AD$195,3),3,4)))</f>
        <v>1</v>
      </c>
      <c r="AE124" s="28">
        <f>IF(Data!AE124&lt;=QUARTILE(Data!AE$4:AE$195,1),1,IF(Data!AE124&lt;=MEDIAN(Data!AE$4:AE$195),2,IF(Data!AE124&lt;=QUARTILE(Data!AE$4:AE$195,3),3,4)))</f>
        <v>3</v>
      </c>
      <c r="AF124" s="28">
        <f>IF(Data!AF124&lt;=QUARTILE(Data!AF$4:AF$195,1),1,IF(Data!AF124&lt;=MEDIAN(Data!AF$4:AF$195),2,IF(Data!AF124&lt;=QUARTILE(Data!AF$4:AF$195,3),3,4)))</f>
        <v>2</v>
      </c>
      <c r="AG124" s="28">
        <f>IF(Data!AG124&lt;=QUARTILE(Data!AG$4:AG$195,1),1,IF(Data!AG124&lt;=MEDIAN(Data!AG$4:AG$195),2,IF(Data!AG124&lt;=QUARTILE(Data!AG$4:AG$195,3),3,4)))</f>
        <v>1</v>
      </c>
      <c r="AH124" s="22">
        <f>IF(Data!AH124&lt;=QUARTILE(Data!AH$4:AH$195,1),1,IF(Data!AH124&lt;=MEDIAN(Data!AH$4:AH$195),2,IF(Data!AH124&lt;=QUARTILE(Data!AH$4:AH$195,3),3,4)))</f>
        <v>1</v>
      </c>
      <c r="AI124" s="25">
        <f>IF(Data!AI124&lt;=QUARTILE(Data!AI$4:AI$195,1),1,IF(Data!AI124&lt;=MEDIAN(Data!AI$4:AI$195),2,IF(Data!AI124&lt;=QUARTILE(Data!AI$4:AI$195,3),3,4)))</f>
        <v>1</v>
      </c>
      <c r="AJ124" s="22">
        <f>IF(Data!AJ124&lt;=QUARTILE(Data!AJ$4:AJ$195,1),1,IF(Data!AJ124&lt;=MEDIAN(Data!AJ$4:AJ$195),2,IF(Data!AJ124&lt;=QUARTILE(Data!AJ$4:AJ$195,3),3,4)))</f>
        <v>2</v>
      </c>
      <c r="AK124" s="25">
        <f>IF(Data!AK124&lt;=QUARTILE(Data!AK$4:AK$195,1),1,IF(Data!AK124&lt;=MEDIAN(Data!AK$4:AK$195),2,IF(Data!AK124&lt;=QUARTILE(Data!AK$4:AK$195,3),3,4)))</f>
        <v>2</v>
      </c>
      <c r="AL124" s="28">
        <f>IF(Data!AL124&lt;=QUARTILE(Data!AL$4:AL$195,1),1,IF(Data!AL124&lt;=MEDIAN(Data!AL$4:AL$195),2,IF(Data!AL124&lt;=QUARTILE(Data!AL$4:AL$195,3),3,4)))</f>
        <v>1</v>
      </c>
      <c r="AM124" s="28">
        <f>IF(Data!AM124&lt;=QUARTILE(Data!AM$4:AM$195,1),1,IF(Data!AM124&lt;=MEDIAN(Data!AM$4:AM$195),2,IF(Data!AM124&lt;=QUARTILE(Data!AM$4:AM$195,3),3,4)))</f>
        <v>2</v>
      </c>
      <c r="AN124" s="22">
        <f>IF(Data!AN124&lt;=QUARTILE(Data!AN$4:AN$195,1),1,IF(Data!AN124&lt;=MEDIAN(Data!AN$4:AN$195),2,IF(Data!AN124&lt;=QUARTILE(Data!AN$4:AN$195,3),3,4)))</f>
        <v>1</v>
      </c>
      <c r="AO124" s="28">
        <f>IF(Data!AO124&lt;=QUARTILE(Data!AO$4:AO$195,1),1,IF(Data!AO124&lt;=MEDIAN(Data!AO$4:AO$195),2,IF(Data!AO124&lt;=QUARTILE(Data!AO$4:AO$195,3),3,4)))</f>
        <v>3</v>
      </c>
      <c r="AP124" s="28">
        <f>IF(Data!AP124&lt;=QUARTILE(Data!AP$4:AP$195,1),1,IF(Data!AP124&lt;=MEDIAN(Data!AP$4:AP$195),2,IF(Data!AP124&lt;=QUARTILE(Data!AP$4:AP$195,3),3,4)))</f>
        <v>3</v>
      </c>
      <c r="AQ124" s="28">
        <f>IF(Data!AQ124&lt;=QUARTILE(Data!AQ$4:AQ$195,1),1,IF(Data!AQ124&lt;=MEDIAN(Data!AQ$4:AQ$195),2,IF(Data!AQ124&lt;=QUARTILE(Data!AQ$4:AQ$195,3),3,4)))</f>
        <v>3</v>
      </c>
      <c r="AR124" s="28">
        <f>IF(Data!AR124&lt;=QUARTILE(Data!AR$4:AR$195,1),1,IF(Data!AR124&lt;=MEDIAN(Data!AR$4:AR$195),2,IF(Data!AR124&lt;=QUARTILE(Data!AR$4:AR$195,3),3,4)))</f>
        <v>2</v>
      </c>
      <c r="AS124" s="28">
        <f>IF(Data!AS124&lt;=QUARTILE(Data!AS$4:AS$195,1),1,IF(Data!AS124&lt;=MEDIAN(Data!AS$4:AS$195),2,IF(Data!AS124&lt;=QUARTILE(Data!AS$4:AS$195,3),3,4)))</f>
        <v>3</v>
      </c>
      <c r="AT124" s="28">
        <f>IF(Data!AT124&lt;=QUARTILE(Data!AT$4:AT$195,1),1,IF(Data!AT124&lt;=MEDIAN(Data!AT$4:AT$195),2,IF(Data!AT124&lt;=QUARTILE(Data!AT$4:AT$195,3),3,4)))</f>
        <v>3</v>
      </c>
      <c r="AU124" s="22">
        <f>IF(Data!AU124&lt;=QUARTILE(Data!AU$4:AU$195,1),1,IF(Data!AU124&lt;=MEDIAN(Data!AU$4:AU$195),2,IF(Data!AU124&lt;=QUARTILE(Data!AU$4:AU$195,3),3,4)))</f>
        <v>3</v>
      </c>
      <c r="AV124" s="25">
        <f>IF(Data!AV124&lt;=QUARTILE(Data!AV$4:AV$195,1),1,IF(Data!AV124&lt;=MEDIAN(Data!AV$4:AV$195),2,IF(Data!AV124&lt;=QUARTILE(Data!AV$4:AV$195,3),3,4)))</f>
        <v>1</v>
      </c>
      <c r="AW124" s="28">
        <f>IF(Data!AW124&lt;=QUARTILE(Data!AW$4:AW$195,1),1,IF(Data!AW124&lt;=MEDIAN(Data!AW$4:AW$195),2,IF(Data!AW124&lt;=QUARTILE(Data!AW$4:AW$195,3),3,4)))</f>
        <v>1</v>
      </c>
      <c r="AX124" s="28">
        <f>IF(Data!AX124&lt;=QUARTILE(Data!AX$4:AX$195,1),1,IF(Data!AX124&lt;=MEDIAN(Data!AX$4:AX$195),2,IF(Data!AX124&lt;=QUARTILE(Data!AX$4:AX$195,3),3,4)))</f>
        <v>1</v>
      </c>
      <c r="AY124" s="22">
        <f>IF(Data!AY124&lt;=QUARTILE(Data!AY$4:AY$195,1),1,IF(Data!AY124&lt;=MEDIAN(Data!AY$4:AY$195),2,IF(Data!AY124&lt;=QUARTILE(Data!AY$4:AY$195,3),3,4)))</f>
        <v>1</v>
      </c>
      <c r="AZ124" s="25">
        <f>IF(Data!AZ124&lt;=QUARTILE(Data!AZ$4:AZ$195,1),1,IF(Data!AZ124&lt;=MEDIAN(Data!AZ$4:AZ$195),2,IF(Data!AZ124&lt;=QUARTILE(Data!AZ$4:AZ$195,3),3,4)))</f>
        <v>4</v>
      </c>
      <c r="BA124" s="22">
        <f>IF(Data!BA124&lt;=QUARTILE(Data!BA$4:BA$195,1),1,IF(Data!BA124&lt;=MEDIAN(Data!BA$4:BA$195),2,IF(Data!BA124&lt;=QUARTILE(Data!BA$4:BA$195,3),3,4)))</f>
        <v>1</v>
      </c>
    </row>
    <row r="125" spans="1:53" x14ac:dyDescent="0.25">
      <c r="A125" s="4" t="s">
        <v>15</v>
      </c>
      <c r="B125" s="40">
        <v>2006</v>
      </c>
      <c r="C125" s="25">
        <v>14</v>
      </c>
      <c r="D125" s="28">
        <v>2</v>
      </c>
      <c r="E125" s="77" t="s">
        <v>97</v>
      </c>
      <c r="F125" s="28">
        <v>10.199999999999999</v>
      </c>
      <c r="G125" s="28">
        <v>10</v>
      </c>
      <c r="H125" s="22">
        <v>0.2</v>
      </c>
      <c r="I125" s="25">
        <f>IF(Data!I125&lt;=QUARTILE(Data!I$4:I$195,1),1,IF(Data!I125&lt;=MEDIAN(Data!I$4:I$195),2,IF(Data!I125&lt;=QUARTILE(Data!I$4:I$195,3),3,4)))</f>
        <v>4</v>
      </c>
      <c r="J125" s="28">
        <f>IF(Data!J125&lt;=QUARTILE(Data!J$4:J$195,1),1,IF(Data!J125&lt;=MEDIAN(Data!J$4:J$195),2,IF(Data!J125&lt;=QUARTILE(Data!J$4:J$195,3),3,4)))</f>
        <v>4</v>
      </c>
      <c r="K125" s="28">
        <f>IF(Data!K125&lt;=QUARTILE(Data!K$4:K$195,1),1,IF(Data!K125&lt;=MEDIAN(Data!K$4:K$195),2,IF(Data!K125&lt;=QUARTILE(Data!K$4:K$195,3),3,4)))</f>
        <v>3</v>
      </c>
      <c r="L125" s="22">
        <f>IF(Data!L125&lt;=QUARTILE(Data!L$4:L$195,1),1,IF(Data!L125&lt;=MEDIAN(Data!L$4:L$195),2,IF(Data!L125&lt;=QUARTILE(Data!L$4:L$195,3),3,4)))</f>
        <v>3</v>
      </c>
      <c r="M125" s="28">
        <f>IF(Data!M125&lt;=QUARTILE(Data!M$4:M$195,1),1,IF(Data!M125&lt;=MEDIAN(Data!M$4:M$195),2,IF(Data!M125&lt;=QUARTILE(Data!M$4:M$195,3),3,4)))</f>
        <v>2</v>
      </c>
      <c r="N125" s="28">
        <f>IF(Data!N125&lt;=QUARTILE(Data!N$4:N$195,1),1,IF(Data!N125&lt;=MEDIAN(Data!N$4:N$195),2,IF(Data!N125&lt;=QUARTILE(Data!N$4:N$195,3),3,4)))</f>
        <v>1</v>
      </c>
      <c r="O125" s="28">
        <f>IF(Data!O125&lt;=QUARTILE(Data!O$4:O$195,1),1,IF(Data!O125&lt;=MEDIAN(Data!O$4:O$195),2,IF(Data!O125&lt;=QUARTILE(Data!O$4:O$195,3),3,4)))</f>
        <v>2</v>
      </c>
      <c r="P125" s="28">
        <f>IF(Data!P125&lt;=QUARTILE(Data!P$4:P$195,1),1,IF(Data!P125&lt;=MEDIAN(Data!P$4:P$195),2,IF(Data!P125&lt;=QUARTILE(Data!P$4:P$195,3),3,4)))</f>
        <v>3</v>
      </c>
      <c r="Q125" s="28">
        <f>IF(Data!Q125&lt;=QUARTILE(Data!Q$4:Q$195,1),1,IF(Data!Q125&lt;=MEDIAN(Data!Q$4:Q$195),2,IF(Data!Q125&lt;=QUARTILE(Data!Q$4:Q$195,3),3,4)))</f>
        <v>2</v>
      </c>
      <c r="R125" s="28">
        <f>IF(Data!R125&lt;=QUARTILE(Data!R$4:R$195,1),1,IF(Data!R125&lt;=MEDIAN(Data!R$4:R$195),2,IF(Data!R125&lt;=QUARTILE(Data!R$4:R$195,3),3,4)))</f>
        <v>4</v>
      </c>
      <c r="S125" s="28">
        <f>IF(Data!S125&lt;=QUARTILE(Data!S$4:S$195,1),1,IF(Data!S125&lt;=MEDIAN(Data!S$4:S$195),2,IF(Data!S125&lt;=QUARTILE(Data!S$4:S$195,3),3,4)))</f>
        <v>1</v>
      </c>
      <c r="T125" s="22">
        <f>IF(Data!T125&lt;=QUARTILE(Data!T$4:T$195,1),1,IF(Data!T125&lt;=MEDIAN(Data!T$4:T$195),2,IF(Data!T125&lt;=QUARTILE(Data!T$4:T$195,3),3,4)))</f>
        <v>1</v>
      </c>
      <c r="U125" s="25">
        <f>IF(Data!U125&lt;=QUARTILE(Data!U$4:U$195,1),1,IF(Data!U125&lt;=MEDIAN(Data!U$4:U$195),2,IF(Data!U125&lt;=QUARTILE(Data!U$4:U$195,3),3,4)))</f>
        <v>4</v>
      </c>
      <c r="V125" s="28">
        <f>IF(Data!V125&lt;=QUARTILE(Data!V$4:V$195,1),1,IF(Data!V125&lt;=MEDIAN(Data!V$4:V$195),2,IF(Data!V125&lt;=QUARTILE(Data!V$4:V$195,3),3,4)))</f>
        <v>4</v>
      </c>
      <c r="W125" s="28">
        <f>IF(Data!W125&lt;=QUARTILE(Data!W$4:W$195,1),1,IF(Data!W125&lt;=MEDIAN(Data!W$4:W$195),2,IF(Data!W125&lt;=QUARTILE(Data!W$4:W$195,3),3,4)))</f>
        <v>4</v>
      </c>
      <c r="X125" s="22">
        <f>IF(Data!X125&lt;=QUARTILE(Data!X$4:X$195,1),1,IF(Data!X125&lt;=MEDIAN(Data!X$4:X$195),2,IF(Data!X125&lt;=QUARTILE(Data!X$4:X$195,3),3,4)))</f>
        <v>4</v>
      </c>
      <c r="Y125" s="28">
        <f>IF(Data!Y125&lt;=QUARTILE(Data!Y$4:Y$195,1),1,IF(Data!Y125&lt;=MEDIAN(Data!Y$4:Y$195),2,IF(Data!Y125&lt;=QUARTILE(Data!Y$4:Y$195,3),3,4)))</f>
        <v>1</v>
      </c>
      <c r="Z125" s="22">
        <f>IF(Data!Z125&lt;=QUARTILE(Data!Z$4:Z$195,1),1,IF(Data!Z125&lt;=MEDIAN(Data!Z$4:Z$195),2,IF(Data!Z125&lt;=QUARTILE(Data!Z$4:Z$195,3),3,4)))</f>
        <v>1</v>
      </c>
      <c r="AA125" s="25">
        <f>IF(Data!AA125&lt;=QUARTILE(Data!AA$4:AA$195,1),1,IF(Data!AA125&lt;=MEDIAN(Data!AA$4:AA$195),2,IF(Data!AA125&lt;=QUARTILE(Data!AA$4:AA$195,3),3,4)))</f>
        <v>4</v>
      </c>
      <c r="AB125" s="22">
        <f>IF(Data!AB125&lt;=QUARTILE(Data!AB$4:AB$195,1),1,IF(Data!AB125&lt;=MEDIAN(Data!AB$4:AB$195),2,IF(Data!AB125&lt;=QUARTILE(Data!AB$4:AB$195,3),3,4)))</f>
        <v>3</v>
      </c>
      <c r="AC125" s="25">
        <f>IF(Data!AC125&lt;=QUARTILE(Data!AC$4:AC$195,1),1,IF(Data!AC125&lt;=MEDIAN(Data!AC$4:AC$195),2,IF(Data!AC125&lt;=QUARTILE(Data!AC$4:AC$195,3),3,4)))</f>
        <v>1</v>
      </c>
      <c r="AD125" s="22">
        <f>IF(Data!AD125&lt;=QUARTILE(Data!AD$4:AD$195,1),1,IF(Data!AD125&lt;=MEDIAN(Data!AD$4:AD$195),2,IF(Data!AD125&lt;=QUARTILE(Data!AD$4:AD$195,3),3,4)))</f>
        <v>2</v>
      </c>
      <c r="AE125" s="28">
        <f>IF(Data!AE125&lt;=QUARTILE(Data!AE$4:AE$195,1),1,IF(Data!AE125&lt;=MEDIAN(Data!AE$4:AE$195),2,IF(Data!AE125&lt;=QUARTILE(Data!AE$4:AE$195,3),3,4)))</f>
        <v>3</v>
      </c>
      <c r="AF125" s="28">
        <f>IF(Data!AF125&lt;=QUARTILE(Data!AF$4:AF$195,1),1,IF(Data!AF125&lt;=MEDIAN(Data!AF$4:AF$195),2,IF(Data!AF125&lt;=QUARTILE(Data!AF$4:AF$195,3),3,4)))</f>
        <v>3</v>
      </c>
      <c r="AG125" s="28">
        <f>IF(Data!AG125&lt;=QUARTILE(Data!AG$4:AG$195,1),1,IF(Data!AG125&lt;=MEDIAN(Data!AG$4:AG$195),2,IF(Data!AG125&lt;=QUARTILE(Data!AG$4:AG$195,3),3,4)))</f>
        <v>2</v>
      </c>
      <c r="AH125" s="22">
        <f>IF(Data!AH125&lt;=QUARTILE(Data!AH$4:AH$195,1),1,IF(Data!AH125&lt;=MEDIAN(Data!AH$4:AH$195),2,IF(Data!AH125&lt;=QUARTILE(Data!AH$4:AH$195,3),3,4)))</f>
        <v>2</v>
      </c>
      <c r="AI125" s="25">
        <f>IF(Data!AI125&lt;=QUARTILE(Data!AI$4:AI$195,1),1,IF(Data!AI125&lt;=MEDIAN(Data!AI$4:AI$195),2,IF(Data!AI125&lt;=QUARTILE(Data!AI$4:AI$195,3),3,4)))</f>
        <v>2</v>
      </c>
      <c r="AJ125" s="22">
        <f>IF(Data!AJ125&lt;=QUARTILE(Data!AJ$4:AJ$195,1),1,IF(Data!AJ125&lt;=MEDIAN(Data!AJ$4:AJ$195),2,IF(Data!AJ125&lt;=QUARTILE(Data!AJ$4:AJ$195,3),3,4)))</f>
        <v>2</v>
      </c>
      <c r="AK125" s="25">
        <f>IF(Data!AK125&lt;=QUARTILE(Data!AK$4:AK$195,1),1,IF(Data!AK125&lt;=MEDIAN(Data!AK$4:AK$195),2,IF(Data!AK125&lt;=QUARTILE(Data!AK$4:AK$195,3),3,4)))</f>
        <v>2</v>
      </c>
      <c r="AL125" s="28">
        <f>IF(Data!AL125&lt;=QUARTILE(Data!AL$4:AL$195,1),1,IF(Data!AL125&lt;=MEDIAN(Data!AL$4:AL$195),2,IF(Data!AL125&lt;=QUARTILE(Data!AL$4:AL$195,3),3,4)))</f>
        <v>1</v>
      </c>
      <c r="AM125" s="28">
        <f>IF(Data!AM125&lt;=QUARTILE(Data!AM$4:AM$195,1),1,IF(Data!AM125&lt;=MEDIAN(Data!AM$4:AM$195),2,IF(Data!AM125&lt;=QUARTILE(Data!AM$4:AM$195,3),3,4)))</f>
        <v>2</v>
      </c>
      <c r="AN125" s="22">
        <f>IF(Data!AN125&lt;=QUARTILE(Data!AN$4:AN$195,1),1,IF(Data!AN125&lt;=MEDIAN(Data!AN$4:AN$195),2,IF(Data!AN125&lt;=QUARTILE(Data!AN$4:AN$195,3),3,4)))</f>
        <v>2</v>
      </c>
      <c r="AO125" s="28">
        <f>IF(Data!AO125&lt;=QUARTILE(Data!AO$4:AO$195,1),1,IF(Data!AO125&lt;=MEDIAN(Data!AO$4:AO$195),2,IF(Data!AO125&lt;=QUARTILE(Data!AO$4:AO$195,3),3,4)))</f>
        <v>2</v>
      </c>
      <c r="AP125" s="28">
        <f>IF(Data!AP125&lt;=QUARTILE(Data!AP$4:AP$195,1),1,IF(Data!AP125&lt;=MEDIAN(Data!AP$4:AP$195),2,IF(Data!AP125&lt;=QUARTILE(Data!AP$4:AP$195,3),3,4)))</f>
        <v>3</v>
      </c>
      <c r="AQ125" s="28">
        <f>IF(Data!AQ125&lt;=QUARTILE(Data!AQ$4:AQ$195,1),1,IF(Data!AQ125&lt;=MEDIAN(Data!AQ$4:AQ$195),2,IF(Data!AQ125&lt;=QUARTILE(Data!AQ$4:AQ$195,3),3,4)))</f>
        <v>2</v>
      </c>
      <c r="AR125" s="28">
        <f>IF(Data!AR125&lt;=QUARTILE(Data!AR$4:AR$195,1),1,IF(Data!AR125&lt;=MEDIAN(Data!AR$4:AR$195),2,IF(Data!AR125&lt;=QUARTILE(Data!AR$4:AR$195,3),3,4)))</f>
        <v>2</v>
      </c>
      <c r="AS125" s="28">
        <f>IF(Data!AS125&lt;=QUARTILE(Data!AS$4:AS$195,1),1,IF(Data!AS125&lt;=MEDIAN(Data!AS$4:AS$195),2,IF(Data!AS125&lt;=QUARTILE(Data!AS$4:AS$195,3),3,4)))</f>
        <v>3</v>
      </c>
      <c r="AT125" s="28">
        <f>IF(Data!AT125&lt;=QUARTILE(Data!AT$4:AT$195,1),1,IF(Data!AT125&lt;=MEDIAN(Data!AT$4:AT$195),2,IF(Data!AT125&lt;=QUARTILE(Data!AT$4:AT$195,3),3,4)))</f>
        <v>4</v>
      </c>
      <c r="AU125" s="22">
        <f>IF(Data!AU125&lt;=QUARTILE(Data!AU$4:AU$195,1),1,IF(Data!AU125&lt;=MEDIAN(Data!AU$4:AU$195),2,IF(Data!AU125&lt;=QUARTILE(Data!AU$4:AU$195,3),3,4)))</f>
        <v>4</v>
      </c>
      <c r="AV125" s="25">
        <f>IF(Data!AV125&lt;=QUARTILE(Data!AV$4:AV$195,1),1,IF(Data!AV125&lt;=MEDIAN(Data!AV$4:AV$195),2,IF(Data!AV125&lt;=QUARTILE(Data!AV$4:AV$195,3),3,4)))</f>
        <v>1</v>
      </c>
      <c r="AW125" s="28">
        <f>IF(Data!AW125&lt;=QUARTILE(Data!AW$4:AW$195,1),1,IF(Data!AW125&lt;=MEDIAN(Data!AW$4:AW$195),2,IF(Data!AW125&lt;=QUARTILE(Data!AW$4:AW$195,3),3,4)))</f>
        <v>2</v>
      </c>
      <c r="AX125" s="28">
        <f>IF(Data!AX125&lt;=QUARTILE(Data!AX$4:AX$195,1),1,IF(Data!AX125&lt;=MEDIAN(Data!AX$4:AX$195),2,IF(Data!AX125&lt;=QUARTILE(Data!AX$4:AX$195,3),3,4)))</f>
        <v>2</v>
      </c>
      <c r="AY125" s="22">
        <f>IF(Data!AY125&lt;=QUARTILE(Data!AY$4:AY$195,1),1,IF(Data!AY125&lt;=MEDIAN(Data!AY$4:AY$195),2,IF(Data!AY125&lt;=QUARTILE(Data!AY$4:AY$195,3),3,4)))</f>
        <v>2</v>
      </c>
      <c r="AZ125" s="25">
        <f>IF(Data!AZ125&lt;=QUARTILE(Data!AZ$4:AZ$195,1),1,IF(Data!AZ125&lt;=MEDIAN(Data!AZ$4:AZ$195),2,IF(Data!AZ125&lt;=QUARTILE(Data!AZ$4:AZ$195,3),3,4)))</f>
        <v>2</v>
      </c>
      <c r="BA125" s="22">
        <f>IF(Data!BA125&lt;=QUARTILE(Data!BA$4:BA$195,1),1,IF(Data!BA125&lt;=MEDIAN(Data!BA$4:BA$195),2,IF(Data!BA125&lt;=QUARTILE(Data!BA$4:BA$195,3),3,4)))</f>
        <v>3</v>
      </c>
    </row>
    <row r="126" spans="1:53" x14ac:dyDescent="0.25">
      <c r="A126" s="4" t="s">
        <v>32</v>
      </c>
      <c r="B126" s="40">
        <v>2006</v>
      </c>
      <c r="C126" s="25">
        <v>7</v>
      </c>
      <c r="D126" s="28">
        <v>9</v>
      </c>
      <c r="E126" s="77" t="s">
        <v>96</v>
      </c>
      <c r="F126" s="28">
        <v>-8.6999999999999993</v>
      </c>
      <c r="G126" s="28">
        <v>-3.5</v>
      </c>
      <c r="H126" s="22">
        <v>-5.2</v>
      </c>
      <c r="I126" s="25">
        <f>IF(Data!I126&lt;=QUARTILE(Data!I$4:I$195,1),1,IF(Data!I126&lt;=MEDIAN(Data!I$4:I$195),2,IF(Data!I126&lt;=QUARTILE(Data!I$4:I$195,3),3,4)))</f>
        <v>2</v>
      </c>
      <c r="J126" s="28">
        <f>IF(Data!J126&lt;=QUARTILE(Data!J$4:J$195,1),1,IF(Data!J126&lt;=MEDIAN(Data!J$4:J$195),2,IF(Data!J126&lt;=QUARTILE(Data!J$4:J$195,3),3,4)))</f>
        <v>2</v>
      </c>
      <c r="K126" s="28">
        <f>IF(Data!K126&lt;=QUARTILE(Data!K$4:K$195,1),1,IF(Data!K126&lt;=MEDIAN(Data!K$4:K$195),2,IF(Data!K126&lt;=QUARTILE(Data!K$4:K$195,3),3,4)))</f>
        <v>1</v>
      </c>
      <c r="L126" s="22">
        <f>IF(Data!L126&lt;=QUARTILE(Data!L$4:L$195,1),1,IF(Data!L126&lt;=MEDIAN(Data!L$4:L$195),2,IF(Data!L126&lt;=QUARTILE(Data!L$4:L$195,3),3,4)))</f>
        <v>1</v>
      </c>
      <c r="M126" s="28">
        <f>IF(Data!M126&lt;=QUARTILE(Data!M$4:M$195,1),1,IF(Data!M126&lt;=MEDIAN(Data!M$4:M$195),2,IF(Data!M126&lt;=QUARTILE(Data!M$4:M$195,3),3,4)))</f>
        <v>1</v>
      </c>
      <c r="N126" s="28">
        <f>IF(Data!N126&lt;=QUARTILE(Data!N$4:N$195,1),1,IF(Data!N126&lt;=MEDIAN(Data!N$4:N$195),2,IF(Data!N126&lt;=QUARTILE(Data!N$4:N$195,3),3,4)))</f>
        <v>1</v>
      </c>
      <c r="O126" s="28">
        <f>IF(Data!O126&lt;=QUARTILE(Data!O$4:O$195,1),1,IF(Data!O126&lt;=MEDIAN(Data!O$4:O$195),2,IF(Data!O126&lt;=QUARTILE(Data!O$4:O$195,3),3,4)))</f>
        <v>1</v>
      </c>
      <c r="P126" s="28">
        <f>IF(Data!P126&lt;=QUARTILE(Data!P$4:P$195,1),1,IF(Data!P126&lt;=MEDIAN(Data!P$4:P$195),2,IF(Data!P126&lt;=QUARTILE(Data!P$4:P$195,3),3,4)))</f>
        <v>1</v>
      </c>
      <c r="Q126" s="28">
        <f>IF(Data!Q126&lt;=QUARTILE(Data!Q$4:Q$195,1),1,IF(Data!Q126&lt;=MEDIAN(Data!Q$4:Q$195),2,IF(Data!Q126&lt;=QUARTILE(Data!Q$4:Q$195,3),3,4)))</f>
        <v>1</v>
      </c>
      <c r="R126" s="28">
        <f>IF(Data!R126&lt;=QUARTILE(Data!R$4:R$195,1),1,IF(Data!R126&lt;=MEDIAN(Data!R$4:R$195),2,IF(Data!R126&lt;=QUARTILE(Data!R$4:R$195,3),3,4)))</f>
        <v>2</v>
      </c>
      <c r="S126" s="28">
        <f>IF(Data!S126&lt;=QUARTILE(Data!S$4:S$195,1),1,IF(Data!S126&lt;=MEDIAN(Data!S$4:S$195),2,IF(Data!S126&lt;=QUARTILE(Data!S$4:S$195,3),3,4)))</f>
        <v>3</v>
      </c>
      <c r="T126" s="22">
        <f>IF(Data!T126&lt;=QUARTILE(Data!T$4:T$195,1),1,IF(Data!T126&lt;=MEDIAN(Data!T$4:T$195),2,IF(Data!T126&lt;=QUARTILE(Data!T$4:T$195,3),3,4)))</f>
        <v>2</v>
      </c>
      <c r="U126" s="25">
        <f>IF(Data!U126&lt;=QUARTILE(Data!U$4:U$195,1),1,IF(Data!U126&lt;=MEDIAN(Data!U$4:U$195),2,IF(Data!U126&lt;=QUARTILE(Data!U$4:U$195,3),3,4)))</f>
        <v>2</v>
      </c>
      <c r="V126" s="28">
        <f>IF(Data!V126&lt;=QUARTILE(Data!V$4:V$195,1),1,IF(Data!V126&lt;=MEDIAN(Data!V$4:V$195),2,IF(Data!V126&lt;=QUARTILE(Data!V$4:V$195,3),3,4)))</f>
        <v>4</v>
      </c>
      <c r="W126" s="28">
        <f>IF(Data!W126&lt;=QUARTILE(Data!W$4:W$195,1),1,IF(Data!W126&lt;=MEDIAN(Data!W$4:W$195),2,IF(Data!W126&lt;=QUARTILE(Data!W$4:W$195,3),3,4)))</f>
        <v>2</v>
      </c>
      <c r="X126" s="22">
        <f>IF(Data!X126&lt;=QUARTILE(Data!X$4:X$195,1),1,IF(Data!X126&lt;=MEDIAN(Data!X$4:X$195),2,IF(Data!X126&lt;=QUARTILE(Data!X$4:X$195,3),3,4)))</f>
        <v>2</v>
      </c>
      <c r="Y126" s="28">
        <f>IF(Data!Y126&lt;=QUARTILE(Data!Y$4:Y$195,1),1,IF(Data!Y126&lt;=MEDIAN(Data!Y$4:Y$195),2,IF(Data!Y126&lt;=QUARTILE(Data!Y$4:Y$195,3),3,4)))</f>
        <v>2</v>
      </c>
      <c r="Z126" s="22">
        <f>IF(Data!Z126&lt;=QUARTILE(Data!Z$4:Z$195,1),1,IF(Data!Z126&lt;=MEDIAN(Data!Z$4:Z$195),2,IF(Data!Z126&lt;=QUARTILE(Data!Z$4:Z$195,3),3,4)))</f>
        <v>3</v>
      </c>
      <c r="AA126" s="25">
        <f>IF(Data!AA126&lt;=QUARTILE(Data!AA$4:AA$195,1),1,IF(Data!AA126&lt;=MEDIAN(Data!AA$4:AA$195),2,IF(Data!AA126&lt;=QUARTILE(Data!AA$4:AA$195,3),3,4)))</f>
        <v>1</v>
      </c>
      <c r="AB126" s="22">
        <f>IF(Data!AB126&lt;=QUARTILE(Data!AB$4:AB$195,1),1,IF(Data!AB126&lt;=MEDIAN(Data!AB$4:AB$195),2,IF(Data!AB126&lt;=QUARTILE(Data!AB$4:AB$195,3),3,4)))</f>
        <v>1</v>
      </c>
      <c r="AC126" s="25">
        <f>IF(Data!AC126&lt;=QUARTILE(Data!AC$4:AC$195,1),1,IF(Data!AC126&lt;=MEDIAN(Data!AC$4:AC$195),2,IF(Data!AC126&lt;=QUARTILE(Data!AC$4:AC$195,3),3,4)))</f>
        <v>4</v>
      </c>
      <c r="AD126" s="22">
        <f>IF(Data!AD126&lt;=QUARTILE(Data!AD$4:AD$195,1),1,IF(Data!AD126&lt;=MEDIAN(Data!AD$4:AD$195),2,IF(Data!AD126&lt;=QUARTILE(Data!AD$4:AD$195,3),3,4)))</f>
        <v>4</v>
      </c>
      <c r="AE126" s="28">
        <f>IF(Data!AE126&lt;=QUARTILE(Data!AE$4:AE$195,1),1,IF(Data!AE126&lt;=MEDIAN(Data!AE$4:AE$195),2,IF(Data!AE126&lt;=QUARTILE(Data!AE$4:AE$195,3),3,4)))</f>
        <v>4</v>
      </c>
      <c r="AF126" s="28">
        <f>IF(Data!AF126&lt;=QUARTILE(Data!AF$4:AF$195,1),1,IF(Data!AF126&lt;=MEDIAN(Data!AF$4:AF$195),2,IF(Data!AF126&lt;=QUARTILE(Data!AF$4:AF$195,3),3,4)))</f>
        <v>4</v>
      </c>
      <c r="AG126" s="28">
        <f>IF(Data!AG126&lt;=QUARTILE(Data!AG$4:AG$195,1),1,IF(Data!AG126&lt;=MEDIAN(Data!AG$4:AG$195),2,IF(Data!AG126&lt;=QUARTILE(Data!AG$4:AG$195,3),3,4)))</f>
        <v>2</v>
      </c>
      <c r="AH126" s="22">
        <f>IF(Data!AH126&lt;=QUARTILE(Data!AH$4:AH$195,1),1,IF(Data!AH126&lt;=MEDIAN(Data!AH$4:AH$195),2,IF(Data!AH126&lt;=QUARTILE(Data!AH$4:AH$195,3),3,4)))</f>
        <v>2</v>
      </c>
      <c r="AI126" s="25">
        <f>IF(Data!AI126&lt;=QUARTILE(Data!AI$4:AI$195,1),1,IF(Data!AI126&lt;=MEDIAN(Data!AI$4:AI$195),2,IF(Data!AI126&lt;=QUARTILE(Data!AI$4:AI$195,3),3,4)))</f>
        <v>3</v>
      </c>
      <c r="AJ126" s="22">
        <f>IF(Data!AJ126&lt;=QUARTILE(Data!AJ$4:AJ$195,1),1,IF(Data!AJ126&lt;=MEDIAN(Data!AJ$4:AJ$195),2,IF(Data!AJ126&lt;=QUARTILE(Data!AJ$4:AJ$195,3),3,4)))</f>
        <v>4</v>
      </c>
      <c r="AK126" s="25">
        <f>IF(Data!AK126&lt;=QUARTILE(Data!AK$4:AK$195,1),1,IF(Data!AK126&lt;=MEDIAN(Data!AK$4:AK$195),2,IF(Data!AK126&lt;=QUARTILE(Data!AK$4:AK$195,3),3,4)))</f>
        <v>4</v>
      </c>
      <c r="AL126" s="28">
        <f>IF(Data!AL126&lt;=QUARTILE(Data!AL$4:AL$195,1),1,IF(Data!AL126&lt;=MEDIAN(Data!AL$4:AL$195),2,IF(Data!AL126&lt;=QUARTILE(Data!AL$4:AL$195,3),3,4)))</f>
        <v>3</v>
      </c>
      <c r="AM126" s="28">
        <f>IF(Data!AM126&lt;=QUARTILE(Data!AM$4:AM$195,1),1,IF(Data!AM126&lt;=MEDIAN(Data!AM$4:AM$195),2,IF(Data!AM126&lt;=QUARTILE(Data!AM$4:AM$195,3),3,4)))</f>
        <v>3</v>
      </c>
      <c r="AN126" s="22">
        <f>IF(Data!AN126&lt;=QUARTILE(Data!AN$4:AN$195,1),1,IF(Data!AN126&lt;=MEDIAN(Data!AN$4:AN$195),2,IF(Data!AN126&lt;=QUARTILE(Data!AN$4:AN$195,3),3,4)))</f>
        <v>4</v>
      </c>
      <c r="AO126" s="28">
        <f>IF(Data!AO126&lt;=QUARTILE(Data!AO$4:AO$195,1),1,IF(Data!AO126&lt;=MEDIAN(Data!AO$4:AO$195),2,IF(Data!AO126&lt;=QUARTILE(Data!AO$4:AO$195,3),3,4)))</f>
        <v>3</v>
      </c>
      <c r="AP126" s="28">
        <f>IF(Data!AP126&lt;=QUARTILE(Data!AP$4:AP$195,1),1,IF(Data!AP126&lt;=MEDIAN(Data!AP$4:AP$195),2,IF(Data!AP126&lt;=QUARTILE(Data!AP$4:AP$195,3),3,4)))</f>
        <v>2</v>
      </c>
      <c r="AQ126" s="28">
        <f>IF(Data!AQ126&lt;=QUARTILE(Data!AQ$4:AQ$195,1),1,IF(Data!AQ126&lt;=MEDIAN(Data!AQ$4:AQ$195),2,IF(Data!AQ126&lt;=QUARTILE(Data!AQ$4:AQ$195,3),3,4)))</f>
        <v>3</v>
      </c>
      <c r="AR126" s="28">
        <f>IF(Data!AR126&lt;=QUARTILE(Data!AR$4:AR$195,1),1,IF(Data!AR126&lt;=MEDIAN(Data!AR$4:AR$195),2,IF(Data!AR126&lt;=QUARTILE(Data!AR$4:AR$195,3),3,4)))</f>
        <v>3</v>
      </c>
      <c r="AS126" s="28">
        <f>IF(Data!AS126&lt;=QUARTILE(Data!AS$4:AS$195,1),1,IF(Data!AS126&lt;=MEDIAN(Data!AS$4:AS$195),2,IF(Data!AS126&lt;=QUARTILE(Data!AS$4:AS$195,3),3,4)))</f>
        <v>4</v>
      </c>
      <c r="AT126" s="28">
        <f>IF(Data!AT126&lt;=QUARTILE(Data!AT$4:AT$195,1),1,IF(Data!AT126&lt;=MEDIAN(Data!AT$4:AT$195),2,IF(Data!AT126&lt;=QUARTILE(Data!AT$4:AT$195,3),3,4)))</f>
        <v>2</v>
      </c>
      <c r="AU126" s="22">
        <f>IF(Data!AU126&lt;=QUARTILE(Data!AU$4:AU$195,1),1,IF(Data!AU126&lt;=MEDIAN(Data!AU$4:AU$195),2,IF(Data!AU126&lt;=QUARTILE(Data!AU$4:AU$195,3),3,4)))</f>
        <v>3</v>
      </c>
      <c r="AV126" s="25">
        <f>IF(Data!AV126&lt;=QUARTILE(Data!AV$4:AV$195,1),1,IF(Data!AV126&lt;=MEDIAN(Data!AV$4:AV$195),2,IF(Data!AV126&lt;=QUARTILE(Data!AV$4:AV$195,3),3,4)))</f>
        <v>3</v>
      </c>
      <c r="AW126" s="28">
        <f>IF(Data!AW126&lt;=QUARTILE(Data!AW$4:AW$195,1),1,IF(Data!AW126&lt;=MEDIAN(Data!AW$4:AW$195),2,IF(Data!AW126&lt;=QUARTILE(Data!AW$4:AW$195,3),3,4)))</f>
        <v>3</v>
      </c>
      <c r="AX126" s="28">
        <f>IF(Data!AX126&lt;=QUARTILE(Data!AX$4:AX$195,1),1,IF(Data!AX126&lt;=MEDIAN(Data!AX$4:AX$195),2,IF(Data!AX126&lt;=QUARTILE(Data!AX$4:AX$195,3),3,4)))</f>
        <v>4</v>
      </c>
      <c r="AY126" s="22">
        <f>IF(Data!AY126&lt;=QUARTILE(Data!AY$4:AY$195,1),1,IF(Data!AY126&lt;=MEDIAN(Data!AY$4:AY$195),2,IF(Data!AY126&lt;=QUARTILE(Data!AY$4:AY$195,3),3,4)))</f>
        <v>3</v>
      </c>
      <c r="AZ126" s="25">
        <f>IF(Data!AZ126&lt;=QUARTILE(Data!AZ$4:AZ$195,1),1,IF(Data!AZ126&lt;=MEDIAN(Data!AZ$4:AZ$195),2,IF(Data!AZ126&lt;=QUARTILE(Data!AZ$4:AZ$195,3),3,4)))</f>
        <v>2</v>
      </c>
      <c r="BA126" s="22">
        <f>IF(Data!BA126&lt;=QUARTILE(Data!BA$4:BA$195,1),1,IF(Data!BA126&lt;=MEDIAN(Data!BA$4:BA$195),2,IF(Data!BA126&lt;=QUARTILE(Data!BA$4:BA$195,3),3,4)))</f>
        <v>3</v>
      </c>
    </row>
    <row r="127" spans="1:53" x14ac:dyDescent="0.25">
      <c r="A127" s="4" t="s">
        <v>33</v>
      </c>
      <c r="B127" s="40">
        <v>2006</v>
      </c>
      <c r="C127" s="25">
        <v>9</v>
      </c>
      <c r="D127" s="28">
        <v>7</v>
      </c>
      <c r="E127" s="77" t="s">
        <v>97</v>
      </c>
      <c r="F127" s="28">
        <v>-3.6</v>
      </c>
      <c r="G127" s="28">
        <v>-1.6</v>
      </c>
      <c r="H127" s="22">
        <v>-1.9</v>
      </c>
      <c r="I127" s="25">
        <f>IF(Data!I127&lt;=QUARTILE(Data!I$4:I$195,1),1,IF(Data!I127&lt;=MEDIAN(Data!I$4:I$195),2,IF(Data!I127&lt;=QUARTILE(Data!I$4:I$195,3),3,4)))</f>
        <v>2</v>
      </c>
      <c r="J127" s="28">
        <f>IF(Data!J127&lt;=QUARTILE(Data!J$4:J$195,1),1,IF(Data!J127&lt;=MEDIAN(Data!J$4:J$195),2,IF(Data!J127&lt;=QUARTILE(Data!J$4:J$195,3),3,4)))</f>
        <v>2</v>
      </c>
      <c r="K127" s="28">
        <f>IF(Data!K127&lt;=QUARTILE(Data!K$4:K$195,1),1,IF(Data!K127&lt;=MEDIAN(Data!K$4:K$195),2,IF(Data!K127&lt;=QUARTILE(Data!K$4:K$195,3),3,4)))</f>
        <v>4</v>
      </c>
      <c r="L127" s="22">
        <f>IF(Data!L127&lt;=QUARTILE(Data!L$4:L$195,1),1,IF(Data!L127&lt;=MEDIAN(Data!L$4:L$195),2,IF(Data!L127&lt;=QUARTILE(Data!L$4:L$195,3),3,4)))</f>
        <v>3</v>
      </c>
      <c r="M127" s="28">
        <f>IF(Data!M127&lt;=QUARTILE(Data!M$4:M$195,1),1,IF(Data!M127&lt;=MEDIAN(Data!M$4:M$195),2,IF(Data!M127&lt;=QUARTILE(Data!M$4:M$195,3),3,4)))</f>
        <v>2</v>
      </c>
      <c r="N127" s="28">
        <f>IF(Data!N127&lt;=QUARTILE(Data!N$4:N$195,1),1,IF(Data!N127&lt;=MEDIAN(Data!N$4:N$195),2,IF(Data!N127&lt;=QUARTILE(Data!N$4:N$195,3),3,4)))</f>
        <v>2</v>
      </c>
      <c r="O127" s="28">
        <f>IF(Data!O127&lt;=QUARTILE(Data!O$4:O$195,1),1,IF(Data!O127&lt;=MEDIAN(Data!O$4:O$195),2,IF(Data!O127&lt;=QUARTILE(Data!O$4:O$195,3),3,4)))</f>
        <v>2</v>
      </c>
      <c r="P127" s="28">
        <f>IF(Data!P127&lt;=QUARTILE(Data!P$4:P$195,1),1,IF(Data!P127&lt;=MEDIAN(Data!P$4:P$195),2,IF(Data!P127&lt;=QUARTILE(Data!P$4:P$195,3),3,4)))</f>
        <v>3</v>
      </c>
      <c r="Q127" s="28">
        <f>IF(Data!Q127&lt;=QUARTILE(Data!Q$4:Q$195,1),1,IF(Data!Q127&lt;=MEDIAN(Data!Q$4:Q$195),2,IF(Data!Q127&lt;=QUARTILE(Data!Q$4:Q$195,3),3,4)))</f>
        <v>2</v>
      </c>
      <c r="R127" s="28">
        <f>IF(Data!R127&lt;=QUARTILE(Data!R$4:R$195,1),1,IF(Data!R127&lt;=MEDIAN(Data!R$4:R$195),2,IF(Data!R127&lt;=QUARTILE(Data!R$4:R$195,3),3,4)))</f>
        <v>2</v>
      </c>
      <c r="S127" s="28">
        <f>IF(Data!S127&lt;=QUARTILE(Data!S$4:S$195,1),1,IF(Data!S127&lt;=MEDIAN(Data!S$4:S$195),2,IF(Data!S127&lt;=QUARTILE(Data!S$4:S$195,3),3,4)))</f>
        <v>4</v>
      </c>
      <c r="T127" s="22">
        <f>IF(Data!T127&lt;=QUARTILE(Data!T$4:T$195,1),1,IF(Data!T127&lt;=MEDIAN(Data!T$4:T$195),2,IF(Data!T127&lt;=QUARTILE(Data!T$4:T$195,3),3,4)))</f>
        <v>4</v>
      </c>
      <c r="U127" s="25">
        <f>IF(Data!U127&lt;=QUARTILE(Data!U$4:U$195,1),1,IF(Data!U127&lt;=MEDIAN(Data!U$4:U$195),2,IF(Data!U127&lt;=QUARTILE(Data!U$4:U$195,3),3,4)))</f>
        <v>4</v>
      </c>
      <c r="V127" s="28">
        <f>IF(Data!V127&lt;=QUARTILE(Data!V$4:V$195,1),1,IF(Data!V127&lt;=MEDIAN(Data!V$4:V$195),2,IF(Data!V127&lt;=QUARTILE(Data!V$4:V$195,3),3,4)))</f>
        <v>3</v>
      </c>
      <c r="W127" s="28">
        <f>IF(Data!W127&lt;=QUARTILE(Data!W$4:W$195,1),1,IF(Data!W127&lt;=MEDIAN(Data!W$4:W$195),2,IF(Data!W127&lt;=QUARTILE(Data!W$4:W$195,3),3,4)))</f>
        <v>1</v>
      </c>
      <c r="X127" s="22">
        <f>IF(Data!X127&lt;=QUARTILE(Data!X$4:X$195,1),1,IF(Data!X127&lt;=MEDIAN(Data!X$4:X$195),2,IF(Data!X127&lt;=QUARTILE(Data!X$4:X$195,3),3,4)))</f>
        <v>4</v>
      </c>
      <c r="Y127" s="28">
        <f>IF(Data!Y127&lt;=QUARTILE(Data!Y$4:Y$195,1),1,IF(Data!Y127&lt;=MEDIAN(Data!Y$4:Y$195),2,IF(Data!Y127&lt;=QUARTILE(Data!Y$4:Y$195,3),3,4)))</f>
        <v>4</v>
      </c>
      <c r="Z127" s="22">
        <f>IF(Data!Z127&lt;=QUARTILE(Data!Z$4:Z$195,1),1,IF(Data!Z127&lt;=MEDIAN(Data!Z$4:Z$195),2,IF(Data!Z127&lt;=QUARTILE(Data!Z$4:Z$195,3),3,4)))</f>
        <v>2</v>
      </c>
      <c r="AA127" s="25">
        <f>IF(Data!AA127&lt;=QUARTILE(Data!AA$4:AA$195,1),1,IF(Data!AA127&lt;=MEDIAN(Data!AA$4:AA$195),2,IF(Data!AA127&lt;=QUARTILE(Data!AA$4:AA$195,3),3,4)))</f>
        <v>4</v>
      </c>
      <c r="AB127" s="22">
        <f>IF(Data!AB127&lt;=QUARTILE(Data!AB$4:AB$195,1),1,IF(Data!AB127&lt;=MEDIAN(Data!AB$4:AB$195),2,IF(Data!AB127&lt;=QUARTILE(Data!AB$4:AB$195,3),3,4)))</f>
        <v>4</v>
      </c>
      <c r="AC127" s="25">
        <f>IF(Data!AC127&lt;=QUARTILE(Data!AC$4:AC$195,1),1,IF(Data!AC127&lt;=MEDIAN(Data!AC$4:AC$195),2,IF(Data!AC127&lt;=QUARTILE(Data!AC$4:AC$195,3),3,4)))</f>
        <v>3</v>
      </c>
      <c r="AD127" s="22">
        <f>IF(Data!AD127&lt;=QUARTILE(Data!AD$4:AD$195,1),1,IF(Data!AD127&lt;=MEDIAN(Data!AD$4:AD$195),2,IF(Data!AD127&lt;=QUARTILE(Data!AD$4:AD$195,3),3,4)))</f>
        <v>3</v>
      </c>
      <c r="AE127" s="28">
        <f>IF(Data!AE127&lt;=QUARTILE(Data!AE$4:AE$195,1),1,IF(Data!AE127&lt;=MEDIAN(Data!AE$4:AE$195),2,IF(Data!AE127&lt;=QUARTILE(Data!AE$4:AE$195,3),3,4)))</f>
        <v>2</v>
      </c>
      <c r="AF127" s="28">
        <f>IF(Data!AF127&lt;=QUARTILE(Data!AF$4:AF$195,1),1,IF(Data!AF127&lt;=MEDIAN(Data!AF$4:AF$195),2,IF(Data!AF127&lt;=QUARTILE(Data!AF$4:AF$195,3),3,4)))</f>
        <v>2</v>
      </c>
      <c r="AG127" s="28">
        <f>IF(Data!AG127&lt;=QUARTILE(Data!AG$4:AG$195,1),1,IF(Data!AG127&lt;=MEDIAN(Data!AG$4:AG$195),2,IF(Data!AG127&lt;=QUARTILE(Data!AG$4:AG$195,3),3,4)))</f>
        <v>3</v>
      </c>
      <c r="AH127" s="22">
        <f>IF(Data!AH127&lt;=QUARTILE(Data!AH$4:AH$195,1),1,IF(Data!AH127&lt;=MEDIAN(Data!AH$4:AH$195),2,IF(Data!AH127&lt;=QUARTILE(Data!AH$4:AH$195,3),3,4)))</f>
        <v>3</v>
      </c>
      <c r="AI127" s="25">
        <f>IF(Data!AI127&lt;=QUARTILE(Data!AI$4:AI$195,1),1,IF(Data!AI127&lt;=MEDIAN(Data!AI$4:AI$195),2,IF(Data!AI127&lt;=QUARTILE(Data!AI$4:AI$195,3),3,4)))</f>
        <v>4</v>
      </c>
      <c r="AJ127" s="22">
        <f>IF(Data!AJ127&lt;=QUARTILE(Data!AJ$4:AJ$195,1),1,IF(Data!AJ127&lt;=MEDIAN(Data!AJ$4:AJ$195),2,IF(Data!AJ127&lt;=QUARTILE(Data!AJ$4:AJ$195,3),3,4)))</f>
        <v>4</v>
      </c>
      <c r="AK127" s="25">
        <f>IF(Data!AK127&lt;=QUARTILE(Data!AK$4:AK$195,1),1,IF(Data!AK127&lt;=MEDIAN(Data!AK$4:AK$195),2,IF(Data!AK127&lt;=QUARTILE(Data!AK$4:AK$195,3),3,4)))</f>
        <v>3</v>
      </c>
      <c r="AL127" s="28">
        <f>IF(Data!AL127&lt;=QUARTILE(Data!AL$4:AL$195,1),1,IF(Data!AL127&lt;=MEDIAN(Data!AL$4:AL$195),2,IF(Data!AL127&lt;=QUARTILE(Data!AL$4:AL$195,3),3,4)))</f>
        <v>3</v>
      </c>
      <c r="AM127" s="28">
        <f>IF(Data!AM127&lt;=QUARTILE(Data!AM$4:AM$195,1),1,IF(Data!AM127&lt;=MEDIAN(Data!AM$4:AM$195),2,IF(Data!AM127&lt;=QUARTILE(Data!AM$4:AM$195,3),3,4)))</f>
        <v>2</v>
      </c>
      <c r="AN127" s="22">
        <f>IF(Data!AN127&lt;=QUARTILE(Data!AN$4:AN$195,1),1,IF(Data!AN127&lt;=MEDIAN(Data!AN$4:AN$195),2,IF(Data!AN127&lt;=QUARTILE(Data!AN$4:AN$195,3),3,4)))</f>
        <v>1</v>
      </c>
      <c r="AO127" s="28">
        <f>IF(Data!AO127&lt;=QUARTILE(Data!AO$4:AO$195,1),1,IF(Data!AO127&lt;=MEDIAN(Data!AO$4:AO$195),2,IF(Data!AO127&lt;=QUARTILE(Data!AO$4:AO$195,3),3,4)))</f>
        <v>2</v>
      </c>
      <c r="AP127" s="28">
        <f>IF(Data!AP127&lt;=QUARTILE(Data!AP$4:AP$195,1),1,IF(Data!AP127&lt;=MEDIAN(Data!AP$4:AP$195),2,IF(Data!AP127&lt;=QUARTILE(Data!AP$4:AP$195,3),3,4)))</f>
        <v>2</v>
      </c>
      <c r="AQ127" s="28">
        <f>IF(Data!AQ127&lt;=QUARTILE(Data!AQ$4:AQ$195,1),1,IF(Data!AQ127&lt;=MEDIAN(Data!AQ$4:AQ$195),2,IF(Data!AQ127&lt;=QUARTILE(Data!AQ$4:AQ$195,3),3,4)))</f>
        <v>2</v>
      </c>
      <c r="AR127" s="28">
        <f>IF(Data!AR127&lt;=QUARTILE(Data!AR$4:AR$195,1),1,IF(Data!AR127&lt;=MEDIAN(Data!AR$4:AR$195),2,IF(Data!AR127&lt;=QUARTILE(Data!AR$4:AR$195,3),3,4)))</f>
        <v>3</v>
      </c>
      <c r="AS127" s="28">
        <f>IF(Data!AS127&lt;=QUARTILE(Data!AS$4:AS$195,1),1,IF(Data!AS127&lt;=MEDIAN(Data!AS$4:AS$195),2,IF(Data!AS127&lt;=QUARTILE(Data!AS$4:AS$195,3),3,4)))</f>
        <v>1</v>
      </c>
      <c r="AT127" s="28">
        <f>IF(Data!AT127&lt;=QUARTILE(Data!AT$4:AT$195,1),1,IF(Data!AT127&lt;=MEDIAN(Data!AT$4:AT$195),2,IF(Data!AT127&lt;=QUARTILE(Data!AT$4:AT$195,3),3,4)))</f>
        <v>4</v>
      </c>
      <c r="AU127" s="22">
        <f>IF(Data!AU127&lt;=QUARTILE(Data!AU$4:AU$195,1),1,IF(Data!AU127&lt;=MEDIAN(Data!AU$4:AU$195),2,IF(Data!AU127&lt;=QUARTILE(Data!AU$4:AU$195,3),3,4)))</f>
        <v>4</v>
      </c>
      <c r="AV127" s="25">
        <f>IF(Data!AV127&lt;=QUARTILE(Data!AV$4:AV$195,1),1,IF(Data!AV127&lt;=MEDIAN(Data!AV$4:AV$195),2,IF(Data!AV127&lt;=QUARTILE(Data!AV$4:AV$195,3),3,4)))</f>
        <v>2</v>
      </c>
      <c r="AW127" s="28">
        <f>IF(Data!AW127&lt;=QUARTILE(Data!AW$4:AW$195,1),1,IF(Data!AW127&lt;=MEDIAN(Data!AW$4:AW$195),2,IF(Data!AW127&lt;=QUARTILE(Data!AW$4:AW$195,3),3,4)))</f>
        <v>3</v>
      </c>
      <c r="AX127" s="28">
        <f>IF(Data!AX127&lt;=QUARTILE(Data!AX$4:AX$195,1),1,IF(Data!AX127&lt;=MEDIAN(Data!AX$4:AX$195),2,IF(Data!AX127&lt;=QUARTILE(Data!AX$4:AX$195,3),3,4)))</f>
        <v>2</v>
      </c>
      <c r="AY127" s="22">
        <f>IF(Data!AY127&lt;=QUARTILE(Data!AY$4:AY$195,1),1,IF(Data!AY127&lt;=MEDIAN(Data!AY$4:AY$195),2,IF(Data!AY127&lt;=QUARTILE(Data!AY$4:AY$195,3),3,4)))</f>
        <v>3</v>
      </c>
      <c r="AZ127" s="25">
        <f>IF(Data!AZ127&lt;=QUARTILE(Data!AZ$4:AZ$195,1),1,IF(Data!AZ127&lt;=MEDIAN(Data!AZ$4:AZ$195),2,IF(Data!AZ127&lt;=QUARTILE(Data!AZ$4:AZ$195,3),3,4)))</f>
        <v>1</v>
      </c>
      <c r="BA127" s="22">
        <f>IF(Data!BA127&lt;=QUARTILE(Data!BA$4:BA$195,1),1,IF(Data!BA127&lt;=MEDIAN(Data!BA$4:BA$195),2,IF(Data!BA127&lt;=QUARTILE(Data!BA$4:BA$195,3),3,4)))</f>
        <v>3</v>
      </c>
    </row>
    <row r="128" spans="1:53" x14ac:dyDescent="0.25">
      <c r="A128" s="4" t="s">
        <v>34</v>
      </c>
      <c r="B128" s="40">
        <v>2006</v>
      </c>
      <c r="C128" s="25">
        <v>8</v>
      </c>
      <c r="D128" s="28">
        <v>8</v>
      </c>
      <c r="E128" s="77" t="s">
        <v>96</v>
      </c>
      <c r="F128" s="28">
        <v>-4</v>
      </c>
      <c r="G128" s="28">
        <v>0.8</v>
      </c>
      <c r="H128" s="22">
        <v>-4.7</v>
      </c>
      <c r="I128" s="25">
        <f>IF(Data!I128&lt;=QUARTILE(Data!I$4:I$195,1),1,IF(Data!I128&lt;=MEDIAN(Data!I$4:I$195),2,IF(Data!I128&lt;=QUARTILE(Data!I$4:I$195,3),3,4)))</f>
        <v>3</v>
      </c>
      <c r="J128" s="28">
        <f>IF(Data!J128&lt;=QUARTILE(Data!J$4:J$195,1),1,IF(Data!J128&lt;=MEDIAN(Data!J$4:J$195),2,IF(Data!J128&lt;=QUARTILE(Data!J$4:J$195,3),3,4)))</f>
        <v>4</v>
      </c>
      <c r="K128" s="28">
        <f>IF(Data!K128&lt;=QUARTILE(Data!K$4:K$195,1),1,IF(Data!K128&lt;=MEDIAN(Data!K$4:K$195),2,IF(Data!K128&lt;=QUARTILE(Data!K$4:K$195,3),3,4)))</f>
        <v>4</v>
      </c>
      <c r="L128" s="22">
        <f>IF(Data!L128&lt;=QUARTILE(Data!L$4:L$195,1),1,IF(Data!L128&lt;=MEDIAN(Data!L$4:L$195),2,IF(Data!L128&lt;=QUARTILE(Data!L$4:L$195,3),3,4)))</f>
        <v>4</v>
      </c>
      <c r="M128" s="28">
        <f>IF(Data!M128&lt;=QUARTILE(Data!M$4:M$195,1),1,IF(Data!M128&lt;=MEDIAN(Data!M$4:M$195),2,IF(Data!M128&lt;=QUARTILE(Data!M$4:M$195,3),3,4)))</f>
        <v>4</v>
      </c>
      <c r="N128" s="28">
        <f>IF(Data!N128&lt;=QUARTILE(Data!N$4:N$195,1),1,IF(Data!N128&lt;=MEDIAN(Data!N$4:N$195),2,IF(Data!N128&lt;=QUARTILE(Data!N$4:N$195,3),3,4)))</f>
        <v>4</v>
      </c>
      <c r="O128" s="28">
        <f>IF(Data!O128&lt;=QUARTILE(Data!O$4:O$195,1),1,IF(Data!O128&lt;=MEDIAN(Data!O$4:O$195),2,IF(Data!O128&lt;=QUARTILE(Data!O$4:O$195,3),3,4)))</f>
        <v>4</v>
      </c>
      <c r="P128" s="28">
        <f>IF(Data!P128&lt;=QUARTILE(Data!P$4:P$195,1),1,IF(Data!P128&lt;=MEDIAN(Data!P$4:P$195),2,IF(Data!P128&lt;=QUARTILE(Data!P$4:P$195,3),3,4)))</f>
        <v>3</v>
      </c>
      <c r="Q128" s="28">
        <f>IF(Data!Q128&lt;=QUARTILE(Data!Q$4:Q$195,1),1,IF(Data!Q128&lt;=MEDIAN(Data!Q$4:Q$195),2,IF(Data!Q128&lt;=QUARTILE(Data!Q$4:Q$195,3),3,4)))</f>
        <v>4</v>
      </c>
      <c r="R128" s="28">
        <f>IF(Data!R128&lt;=QUARTILE(Data!R$4:R$195,1),1,IF(Data!R128&lt;=MEDIAN(Data!R$4:R$195),2,IF(Data!R128&lt;=QUARTILE(Data!R$4:R$195,3),3,4)))</f>
        <v>4</v>
      </c>
      <c r="S128" s="28">
        <f>IF(Data!S128&lt;=QUARTILE(Data!S$4:S$195,1),1,IF(Data!S128&lt;=MEDIAN(Data!S$4:S$195),2,IF(Data!S128&lt;=QUARTILE(Data!S$4:S$195,3),3,4)))</f>
        <v>4</v>
      </c>
      <c r="T128" s="22">
        <f>IF(Data!T128&lt;=QUARTILE(Data!T$4:T$195,1),1,IF(Data!T128&lt;=MEDIAN(Data!T$4:T$195),2,IF(Data!T128&lt;=QUARTILE(Data!T$4:T$195,3),3,4)))</f>
        <v>4</v>
      </c>
      <c r="U128" s="25">
        <f>IF(Data!U128&lt;=QUARTILE(Data!U$4:U$195,1),1,IF(Data!U128&lt;=MEDIAN(Data!U$4:U$195),2,IF(Data!U128&lt;=QUARTILE(Data!U$4:U$195,3),3,4)))</f>
        <v>2</v>
      </c>
      <c r="V128" s="28">
        <f>IF(Data!V128&lt;=QUARTILE(Data!V$4:V$195,1),1,IF(Data!V128&lt;=MEDIAN(Data!V$4:V$195),2,IF(Data!V128&lt;=QUARTILE(Data!V$4:V$195,3),3,4)))</f>
        <v>2</v>
      </c>
      <c r="W128" s="28">
        <f>IF(Data!W128&lt;=QUARTILE(Data!W$4:W$195,1),1,IF(Data!W128&lt;=MEDIAN(Data!W$4:W$195),2,IF(Data!W128&lt;=QUARTILE(Data!W$4:W$195,3),3,4)))</f>
        <v>2</v>
      </c>
      <c r="X128" s="22">
        <f>IF(Data!X128&lt;=QUARTILE(Data!X$4:X$195,1),1,IF(Data!X128&lt;=MEDIAN(Data!X$4:X$195),2,IF(Data!X128&lt;=QUARTILE(Data!X$4:X$195,3),3,4)))</f>
        <v>2</v>
      </c>
      <c r="Y128" s="28">
        <f>IF(Data!Y128&lt;=QUARTILE(Data!Y$4:Y$195,1),1,IF(Data!Y128&lt;=MEDIAN(Data!Y$4:Y$195),2,IF(Data!Y128&lt;=QUARTILE(Data!Y$4:Y$195,3),3,4)))</f>
        <v>1</v>
      </c>
      <c r="Z128" s="22">
        <f>IF(Data!Z128&lt;=QUARTILE(Data!Z$4:Z$195,1),1,IF(Data!Z128&lt;=MEDIAN(Data!Z$4:Z$195),2,IF(Data!Z128&lt;=QUARTILE(Data!Z$4:Z$195,3),3,4)))</f>
        <v>1</v>
      </c>
      <c r="AA128" s="25">
        <f>IF(Data!AA128&lt;=QUARTILE(Data!AA$4:AA$195,1),1,IF(Data!AA128&lt;=MEDIAN(Data!AA$4:AA$195),2,IF(Data!AA128&lt;=QUARTILE(Data!AA$4:AA$195,3),3,4)))</f>
        <v>1</v>
      </c>
      <c r="AB128" s="22">
        <f>IF(Data!AB128&lt;=QUARTILE(Data!AB$4:AB$195,1),1,IF(Data!AB128&lt;=MEDIAN(Data!AB$4:AB$195),2,IF(Data!AB128&lt;=QUARTILE(Data!AB$4:AB$195,3),3,4)))</f>
        <v>1</v>
      </c>
      <c r="AC128" s="25">
        <f>IF(Data!AC128&lt;=QUARTILE(Data!AC$4:AC$195,1),1,IF(Data!AC128&lt;=MEDIAN(Data!AC$4:AC$195),2,IF(Data!AC128&lt;=QUARTILE(Data!AC$4:AC$195,3),3,4)))</f>
        <v>2</v>
      </c>
      <c r="AD128" s="22">
        <f>IF(Data!AD128&lt;=QUARTILE(Data!AD$4:AD$195,1),1,IF(Data!AD128&lt;=MEDIAN(Data!AD$4:AD$195),2,IF(Data!AD128&lt;=QUARTILE(Data!AD$4:AD$195,3),3,4)))</f>
        <v>2</v>
      </c>
      <c r="AE128" s="28">
        <f>IF(Data!AE128&lt;=QUARTILE(Data!AE$4:AE$195,1),1,IF(Data!AE128&lt;=MEDIAN(Data!AE$4:AE$195),2,IF(Data!AE128&lt;=QUARTILE(Data!AE$4:AE$195,3),3,4)))</f>
        <v>2</v>
      </c>
      <c r="AF128" s="28">
        <f>IF(Data!AF128&lt;=QUARTILE(Data!AF$4:AF$195,1),1,IF(Data!AF128&lt;=MEDIAN(Data!AF$4:AF$195),2,IF(Data!AF128&lt;=QUARTILE(Data!AF$4:AF$195,3),3,4)))</f>
        <v>3</v>
      </c>
      <c r="AG128" s="28">
        <f>IF(Data!AG128&lt;=QUARTILE(Data!AG$4:AG$195,1),1,IF(Data!AG128&lt;=MEDIAN(Data!AG$4:AG$195),2,IF(Data!AG128&lt;=QUARTILE(Data!AG$4:AG$195,3),3,4)))</f>
        <v>4</v>
      </c>
      <c r="AH128" s="22">
        <f>IF(Data!AH128&lt;=QUARTILE(Data!AH$4:AH$195,1),1,IF(Data!AH128&lt;=MEDIAN(Data!AH$4:AH$195),2,IF(Data!AH128&lt;=QUARTILE(Data!AH$4:AH$195,3),3,4)))</f>
        <v>4</v>
      </c>
      <c r="AI128" s="25">
        <f>IF(Data!AI128&lt;=QUARTILE(Data!AI$4:AI$195,1),1,IF(Data!AI128&lt;=MEDIAN(Data!AI$4:AI$195),2,IF(Data!AI128&lt;=QUARTILE(Data!AI$4:AI$195,3),3,4)))</f>
        <v>2</v>
      </c>
      <c r="AJ128" s="22">
        <f>IF(Data!AJ128&lt;=QUARTILE(Data!AJ$4:AJ$195,1),1,IF(Data!AJ128&lt;=MEDIAN(Data!AJ$4:AJ$195),2,IF(Data!AJ128&lt;=QUARTILE(Data!AJ$4:AJ$195,3),3,4)))</f>
        <v>3</v>
      </c>
      <c r="AK128" s="25">
        <f>IF(Data!AK128&lt;=QUARTILE(Data!AK$4:AK$195,1),1,IF(Data!AK128&lt;=MEDIAN(Data!AK$4:AK$195),2,IF(Data!AK128&lt;=QUARTILE(Data!AK$4:AK$195,3),3,4)))</f>
        <v>3</v>
      </c>
      <c r="AL128" s="28">
        <f>IF(Data!AL128&lt;=QUARTILE(Data!AL$4:AL$195,1),1,IF(Data!AL128&lt;=MEDIAN(Data!AL$4:AL$195),2,IF(Data!AL128&lt;=QUARTILE(Data!AL$4:AL$195,3),3,4)))</f>
        <v>3</v>
      </c>
      <c r="AM128" s="28">
        <f>IF(Data!AM128&lt;=QUARTILE(Data!AM$4:AM$195,1),1,IF(Data!AM128&lt;=MEDIAN(Data!AM$4:AM$195),2,IF(Data!AM128&lt;=QUARTILE(Data!AM$4:AM$195,3),3,4)))</f>
        <v>1</v>
      </c>
      <c r="AN128" s="22">
        <f>IF(Data!AN128&lt;=QUARTILE(Data!AN$4:AN$195,1),1,IF(Data!AN128&lt;=MEDIAN(Data!AN$4:AN$195),2,IF(Data!AN128&lt;=QUARTILE(Data!AN$4:AN$195,3),3,4)))</f>
        <v>3</v>
      </c>
      <c r="AO128" s="28">
        <f>IF(Data!AO128&lt;=QUARTILE(Data!AO$4:AO$195,1),1,IF(Data!AO128&lt;=MEDIAN(Data!AO$4:AO$195),2,IF(Data!AO128&lt;=QUARTILE(Data!AO$4:AO$195,3),3,4)))</f>
        <v>1</v>
      </c>
      <c r="AP128" s="28">
        <f>IF(Data!AP128&lt;=QUARTILE(Data!AP$4:AP$195,1),1,IF(Data!AP128&lt;=MEDIAN(Data!AP$4:AP$195),2,IF(Data!AP128&lt;=QUARTILE(Data!AP$4:AP$195,3),3,4)))</f>
        <v>1</v>
      </c>
      <c r="AQ128" s="28">
        <f>IF(Data!AQ128&lt;=QUARTILE(Data!AQ$4:AQ$195,1),1,IF(Data!AQ128&lt;=MEDIAN(Data!AQ$4:AQ$195),2,IF(Data!AQ128&lt;=QUARTILE(Data!AQ$4:AQ$195,3),3,4)))</f>
        <v>1</v>
      </c>
      <c r="AR128" s="28">
        <f>IF(Data!AR128&lt;=QUARTILE(Data!AR$4:AR$195,1),1,IF(Data!AR128&lt;=MEDIAN(Data!AR$4:AR$195),2,IF(Data!AR128&lt;=QUARTILE(Data!AR$4:AR$195,3),3,4)))</f>
        <v>2</v>
      </c>
      <c r="AS128" s="28">
        <f>IF(Data!AS128&lt;=QUARTILE(Data!AS$4:AS$195,1),1,IF(Data!AS128&lt;=MEDIAN(Data!AS$4:AS$195),2,IF(Data!AS128&lt;=QUARTILE(Data!AS$4:AS$195,3),3,4)))</f>
        <v>2</v>
      </c>
      <c r="AT128" s="28">
        <f>IF(Data!AT128&lt;=QUARTILE(Data!AT$4:AT$195,1),1,IF(Data!AT128&lt;=MEDIAN(Data!AT$4:AT$195),2,IF(Data!AT128&lt;=QUARTILE(Data!AT$4:AT$195,3),3,4)))</f>
        <v>2</v>
      </c>
      <c r="AU128" s="22">
        <f>IF(Data!AU128&lt;=QUARTILE(Data!AU$4:AU$195,1),1,IF(Data!AU128&lt;=MEDIAN(Data!AU$4:AU$195),2,IF(Data!AU128&lt;=QUARTILE(Data!AU$4:AU$195,3),3,4)))</f>
        <v>2</v>
      </c>
      <c r="AV128" s="25">
        <f>IF(Data!AV128&lt;=QUARTILE(Data!AV$4:AV$195,1),1,IF(Data!AV128&lt;=MEDIAN(Data!AV$4:AV$195),2,IF(Data!AV128&lt;=QUARTILE(Data!AV$4:AV$195,3),3,4)))</f>
        <v>3</v>
      </c>
      <c r="AW128" s="28">
        <f>IF(Data!AW128&lt;=QUARTILE(Data!AW$4:AW$195,1),1,IF(Data!AW128&lt;=MEDIAN(Data!AW$4:AW$195),2,IF(Data!AW128&lt;=QUARTILE(Data!AW$4:AW$195,3),3,4)))</f>
        <v>4</v>
      </c>
      <c r="AX128" s="28">
        <f>IF(Data!AX128&lt;=QUARTILE(Data!AX$4:AX$195,1),1,IF(Data!AX128&lt;=MEDIAN(Data!AX$4:AX$195),2,IF(Data!AX128&lt;=QUARTILE(Data!AX$4:AX$195,3),3,4)))</f>
        <v>4</v>
      </c>
      <c r="AY128" s="22">
        <f>IF(Data!AY128&lt;=QUARTILE(Data!AY$4:AY$195,1),1,IF(Data!AY128&lt;=MEDIAN(Data!AY$4:AY$195),2,IF(Data!AY128&lt;=QUARTILE(Data!AY$4:AY$195,3),3,4)))</f>
        <v>4</v>
      </c>
      <c r="AZ128" s="25">
        <f>IF(Data!AZ128&lt;=QUARTILE(Data!AZ$4:AZ$195,1),1,IF(Data!AZ128&lt;=MEDIAN(Data!AZ$4:AZ$195),2,IF(Data!AZ128&lt;=QUARTILE(Data!AZ$4:AZ$195,3),3,4)))</f>
        <v>3</v>
      </c>
      <c r="BA128" s="22">
        <f>IF(Data!BA128&lt;=QUARTILE(Data!BA$4:BA$195,1),1,IF(Data!BA128&lt;=MEDIAN(Data!BA$4:BA$195),2,IF(Data!BA128&lt;=QUARTILE(Data!BA$4:BA$195,3),3,4)))</f>
        <v>4</v>
      </c>
    </row>
    <row r="129" spans="1:53" x14ac:dyDescent="0.25">
      <c r="A129" s="4" t="s">
        <v>30</v>
      </c>
      <c r="B129" s="40">
        <v>2006</v>
      </c>
      <c r="C129" s="25">
        <v>4</v>
      </c>
      <c r="D129" s="28">
        <v>12</v>
      </c>
      <c r="E129" s="77" t="s">
        <v>96</v>
      </c>
      <c r="F129" s="28">
        <v>-7.9</v>
      </c>
      <c r="G129" s="28">
        <v>-7.2</v>
      </c>
      <c r="H129" s="22">
        <v>-0.8</v>
      </c>
      <c r="I129" s="25">
        <f>IF(Data!I129&lt;=QUARTILE(Data!I$4:I$195,1),1,IF(Data!I129&lt;=MEDIAN(Data!I$4:I$195),2,IF(Data!I129&lt;=QUARTILE(Data!I$4:I$195,3),3,4)))</f>
        <v>1</v>
      </c>
      <c r="J129" s="28">
        <f>IF(Data!J129&lt;=QUARTILE(Data!J$4:J$195,1),1,IF(Data!J129&lt;=MEDIAN(Data!J$4:J$195),2,IF(Data!J129&lt;=QUARTILE(Data!J$4:J$195,3),3,4)))</f>
        <v>1</v>
      </c>
      <c r="K129" s="28">
        <f>IF(Data!K129&lt;=QUARTILE(Data!K$4:K$195,1),1,IF(Data!K129&lt;=MEDIAN(Data!K$4:K$195),2,IF(Data!K129&lt;=QUARTILE(Data!K$4:K$195,3),3,4)))</f>
        <v>2</v>
      </c>
      <c r="L129" s="22">
        <f>IF(Data!L129&lt;=QUARTILE(Data!L$4:L$195,1),1,IF(Data!L129&lt;=MEDIAN(Data!L$4:L$195),2,IF(Data!L129&lt;=QUARTILE(Data!L$4:L$195,3),3,4)))</f>
        <v>1</v>
      </c>
      <c r="M129" s="28">
        <f>IF(Data!M129&lt;=QUARTILE(Data!M$4:M$195,1),1,IF(Data!M129&lt;=MEDIAN(Data!M$4:M$195),2,IF(Data!M129&lt;=QUARTILE(Data!M$4:M$195,3),3,4)))</f>
        <v>2</v>
      </c>
      <c r="N129" s="28">
        <f>IF(Data!N129&lt;=QUARTILE(Data!N$4:N$195,1),1,IF(Data!N129&lt;=MEDIAN(Data!N$4:N$195),2,IF(Data!N129&lt;=QUARTILE(Data!N$4:N$195,3),3,4)))</f>
        <v>3</v>
      </c>
      <c r="O129" s="28">
        <f>IF(Data!O129&lt;=QUARTILE(Data!O$4:O$195,1),1,IF(Data!O129&lt;=MEDIAN(Data!O$4:O$195),2,IF(Data!O129&lt;=QUARTILE(Data!O$4:O$195,3),3,4)))</f>
        <v>1</v>
      </c>
      <c r="P129" s="28">
        <f>IF(Data!P129&lt;=QUARTILE(Data!P$4:P$195,1),1,IF(Data!P129&lt;=MEDIAN(Data!P$4:P$195),2,IF(Data!P129&lt;=QUARTILE(Data!P$4:P$195,3),3,4)))</f>
        <v>1</v>
      </c>
      <c r="Q129" s="28">
        <f>IF(Data!Q129&lt;=QUARTILE(Data!Q$4:Q$195,1),1,IF(Data!Q129&lt;=MEDIAN(Data!Q$4:Q$195),2,IF(Data!Q129&lt;=QUARTILE(Data!Q$4:Q$195,3),3,4)))</f>
        <v>1</v>
      </c>
      <c r="R129" s="28">
        <f>IF(Data!R129&lt;=QUARTILE(Data!R$4:R$195,1),1,IF(Data!R129&lt;=MEDIAN(Data!R$4:R$195),2,IF(Data!R129&lt;=QUARTILE(Data!R$4:R$195,3),3,4)))</f>
        <v>1</v>
      </c>
      <c r="S129" s="28">
        <f>IF(Data!S129&lt;=QUARTILE(Data!S$4:S$195,1),1,IF(Data!S129&lt;=MEDIAN(Data!S$4:S$195),2,IF(Data!S129&lt;=QUARTILE(Data!S$4:S$195,3),3,4)))</f>
        <v>2</v>
      </c>
      <c r="T129" s="22">
        <f>IF(Data!T129&lt;=QUARTILE(Data!T$4:T$195,1),1,IF(Data!T129&lt;=MEDIAN(Data!T$4:T$195),2,IF(Data!T129&lt;=QUARTILE(Data!T$4:T$195,3),3,4)))</f>
        <v>2</v>
      </c>
      <c r="U129" s="25">
        <f>IF(Data!U129&lt;=QUARTILE(Data!U$4:U$195,1),1,IF(Data!U129&lt;=MEDIAN(Data!U$4:U$195),2,IF(Data!U129&lt;=QUARTILE(Data!U$4:U$195,3),3,4)))</f>
        <v>1</v>
      </c>
      <c r="V129" s="28">
        <f>IF(Data!V129&lt;=QUARTILE(Data!V$4:V$195,1),1,IF(Data!V129&lt;=MEDIAN(Data!V$4:V$195),2,IF(Data!V129&lt;=QUARTILE(Data!V$4:V$195,3),3,4)))</f>
        <v>1</v>
      </c>
      <c r="W129" s="28">
        <f>IF(Data!W129&lt;=QUARTILE(Data!W$4:W$195,1),1,IF(Data!W129&lt;=MEDIAN(Data!W$4:W$195),2,IF(Data!W129&lt;=QUARTILE(Data!W$4:W$195,3),3,4)))</f>
        <v>1</v>
      </c>
      <c r="X129" s="22">
        <f>IF(Data!X129&lt;=QUARTILE(Data!X$4:X$195,1),1,IF(Data!X129&lt;=MEDIAN(Data!X$4:X$195),2,IF(Data!X129&lt;=QUARTILE(Data!X$4:X$195,3),3,4)))</f>
        <v>1</v>
      </c>
      <c r="Y129" s="28">
        <f>IF(Data!Y129&lt;=QUARTILE(Data!Y$4:Y$195,1),1,IF(Data!Y129&lt;=MEDIAN(Data!Y$4:Y$195),2,IF(Data!Y129&lt;=QUARTILE(Data!Y$4:Y$195,3),3,4)))</f>
        <v>3</v>
      </c>
      <c r="Z129" s="22">
        <f>IF(Data!Z129&lt;=QUARTILE(Data!Z$4:Z$195,1),1,IF(Data!Z129&lt;=MEDIAN(Data!Z$4:Z$195),2,IF(Data!Z129&lt;=QUARTILE(Data!Z$4:Z$195,3),3,4)))</f>
        <v>3</v>
      </c>
      <c r="AA129" s="25">
        <f>IF(Data!AA129&lt;=QUARTILE(Data!AA$4:AA$195,1),1,IF(Data!AA129&lt;=MEDIAN(Data!AA$4:AA$195),2,IF(Data!AA129&lt;=QUARTILE(Data!AA$4:AA$195,3),3,4)))</f>
        <v>4</v>
      </c>
      <c r="AB129" s="22">
        <f>IF(Data!AB129&lt;=QUARTILE(Data!AB$4:AB$195,1),1,IF(Data!AB129&lt;=MEDIAN(Data!AB$4:AB$195),2,IF(Data!AB129&lt;=QUARTILE(Data!AB$4:AB$195,3),3,4)))</f>
        <v>3</v>
      </c>
      <c r="AC129" s="25">
        <f>IF(Data!AC129&lt;=QUARTILE(Data!AC$4:AC$195,1),1,IF(Data!AC129&lt;=MEDIAN(Data!AC$4:AC$195),2,IF(Data!AC129&lt;=QUARTILE(Data!AC$4:AC$195,3),3,4)))</f>
        <v>2</v>
      </c>
      <c r="AD129" s="22">
        <f>IF(Data!AD129&lt;=QUARTILE(Data!AD$4:AD$195,1),1,IF(Data!AD129&lt;=MEDIAN(Data!AD$4:AD$195),2,IF(Data!AD129&lt;=QUARTILE(Data!AD$4:AD$195,3),3,4)))</f>
        <v>2</v>
      </c>
      <c r="AE129" s="28">
        <f>IF(Data!AE129&lt;=QUARTILE(Data!AE$4:AE$195,1),1,IF(Data!AE129&lt;=MEDIAN(Data!AE$4:AE$195),2,IF(Data!AE129&lt;=QUARTILE(Data!AE$4:AE$195,3),3,4)))</f>
        <v>1</v>
      </c>
      <c r="AF129" s="28">
        <f>IF(Data!AF129&lt;=QUARTILE(Data!AF$4:AF$195,1),1,IF(Data!AF129&lt;=MEDIAN(Data!AF$4:AF$195),2,IF(Data!AF129&lt;=QUARTILE(Data!AF$4:AF$195,3),3,4)))</f>
        <v>1</v>
      </c>
      <c r="AG129" s="28">
        <f>IF(Data!AG129&lt;=QUARTILE(Data!AG$4:AG$195,1),1,IF(Data!AG129&lt;=MEDIAN(Data!AG$4:AG$195),2,IF(Data!AG129&lt;=QUARTILE(Data!AG$4:AG$195,3),3,4)))</f>
        <v>2</v>
      </c>
      <c r="AH129" s="22">
        <f>IF(Data!AH129&lt;=QUARTILE(Data!AH$4:AH$195,1),1,IF(Data!AH129&lt;=MEDIAN(Data!AH$4:AH$195),2,IF(Data!AH129&lt;=QUARTILE(Data!AH$4:AH$195,3),3,4)))</f>
        <v>1</v>
      </c>
      <c r="AI129" s="25">
        <f>IF(Data!AI129&lt;=QUARTILE(Data!AI$4:AI$195,1),1,IF(Data!AI129&lt;=MEDIAN(Data!AI$4:AI$195),2,IF(Data!AI129&lt;=QUARTILE(Data!AI$4:AI$195,3),3,4)))</f>
        <v>4</v>
      </c>
      <c r="AJ129" s="22">
        <f>IF(Data!AJ129&lt;=QUARTILE(Data!AJ$4:AJ$195,1),1,IF(Data!AJ129&lt;=MEDIAN(Data!AJ$4:AJ$195),2,IF(Data!AJ129&lt;=QUARTILE(Data!AJ$4:AJ$195,3),3,4)))</f>
        <v>4</v>
      </c>
      <c r="AK129" s="25">
        <f>IF(Data!AK129&lt;=QUARTILE(Data!AK$4:AK$195,1),1,IF(Data!AK129&lt;=MEDIAN(Data!AK$4:AK$195),2,IF(Data!AK129&lt;=QUARTILE(Data!AK$4:AK$195,3),3,4)))</f>
        <v>3</v>
      </c>
      <c r="AL129" s="28">
        <f>IF(Data!AL129&lt;=QUARTILE(Data!AL$4:AL$195,1),1,IF(Data!AL129&lt;=MEDIAN(Data!AL$4:AL$195),2,IF(Data!AL129&lt;=QUARTILE(Data!AL$4:AL$195,3),3,4)))</f>
        <v>3</v>
      </c>
      <c r="AM129" s="28">
        <f>IF(Data!AM129&lt;=QUARTILE(Data!AM$4:AM$195,1),1,IF(Data!AM129&lt;=MEDIAN(Data!AM$4:AM$195),2,IF(Data!AM129&lt;=QUARTILE(Data!AM$4:AM$195,3),3,4)))</f>
        <v>3</v>
      </c>
      <c r="AN129" s="22">
        <f>IF(Data!AN129&lt;=QUARTILE(Data!AN$4:AN$195,1),1,IF(Data!AN129&lt;=MEDIAN(Data!AN$4:AN$195),2,IF(Data!AN129&lt;=QUARTILE(Data!AN$4:AN$195,3),3,4)))</f>
        <v>3</v>
      </c>
      <c r="AO129" s="28">
        <f>IF(Data!AO129&lt;=QUARTILE(Data!AO$4:AO$195,1),1,IF(Data!AO129&lt;=MEDIAN(Data!AO$4:AO$195),2,IF(Data!AO129&lt;=QUARTILE(Data!AO$4:AO$195,3),3,4)))</f>
        <v>2</v>
      </c>
      <c r="AP129" s="28">
        <f>IF(Data!AP129&lt;=QUARTILE(Data!AP$4:AP$195,1),1,IF(Data!AP129&lt;=MEDIAN(Data!AP$4:AP$195),2,IF(Data!AP129&lt;=QUARTILE(Data!AP$4:AP$195,3),3,4)))</f>
        <v>1</v>
      </c>
      <c r="AQ129" s="28">
        <f>IF(Data!AQ129&lt;=QUARTILE(Data!AQ$4:AQ$195,1),1,IF(Data!AQ129&lt;=MEDIAN(Data!AQ$4:AQ$195),2,IF(Data!AQ129&lt;=QUARTILE(Data!AQ$4:AQ$195,3),3,4)))</f>
        <v>2</v>
      </c>
      <c r="AR129" s="28">
        <f>IF(Data!AR129&lt;=QUARTILE(Data!AR$4:AR$195,1),1,IF(Data!AR129&lt;=MEDIAN(Data!AR$4:AR$195),2,IF(Data!AR129&lt;=QUARTILE(Data!AR$4:AR$195,3),3,4)))</f>
        <v>4</v>
      </c>
      <c r="AS129" s="28">
        <f>IF(Data!AS129&lt;=QUARTILE(Data!AS$4:AS$195,1),1,IF(Data!AS129&lt;=MEDIAN(Data!AS$4:AS$195),2,IF(Data!AS129&lt;=QUARTILE(Data!AS$4:AS$195,3),3,4)))</f>
        <v>2</v>
      </c>
      <c r="AT129" s="28">
        <f>IF(Data!AT129&lt;=QUARTILE(Data!AT$4:AT$195,1),1,IF(Data!AT129&lt;=MEDIAN(Data!AT$4:AT$195),2,IF(Data!AT129&lt;=QUARTILE(Data!AT$4:AT$195,3),3,4)))</f>
        <v>1</v>
      </c>
      <c r="AU129" s="22">
        <f>IF(Data!AU129&lt;=QUARTILE(Data!AU$4:AU$195,1),1,IF(Data!AU129&lt;=MEDIAN(Data!AU$4:AU$195),2,IF(Data!AU129&lt;=QUARTILE(Data!AU$4:AU$195,3),3,4)))</f>
        <v>1</v>
      </c>
      <c r="AV129" s="25">
        <f>IF(Data!AV129&lt;=QUARTILE(Data!AV$4:AV$195,1),1,IF(Data!AV129&lt;=MEDIAN(Data!AV$4:AV$195),2,IF(Data!AV129&lt;=QUARTILE(Data!AV$4:AV$195,3),3,4)))</f>
        <v>4</v>
      </c>
      <c r="AW129" s="28">
        <f>IF(Data!AW129&lt;=QUARTILE(Data!AW$4:AW$195,1),1,IF(Data!AW129&lt;=MEDIAN(Data!AW$4:AW$195),2,IF(Data!AW129&lt;=QUARTILE(Data!AW$4:AW$195,3),3,4)))</f>
        <v>3</v>
      </c>
      <c r="AX129" s="28">
        <f>IF(Data!AX129&lt;=QUARTILE(Data!AX$4:AX$195,1),1,IF(Data!AX129&lt;=MEDIAN(Data!AX$4:AX$195),2,IF(Data!AX129&lt;=QUARTILE(Data!AX$4:AX$195,3),3,4)))</f>
        <v>2</v>
      </c>
      <c r="AY129" s="22">
        <f>IF(Data!AY129&lt;=QUARTILE(Data!AY$4:AY$195,1),1,IF(Data!AY129&lt;=MEDIAN(Data!AY$4:AY$195),2,IF(Data!AY129&lt;=QUARTILE(Data!AY$4:AY$195,3),3,4)))</f>
        <v>3</v>
      </c>
      <c r="AZ129" s="25">
        <f>IF(Data!AZ129&lt;=QUARTILE(Data!AZ$4:AZ$195,1),1,IF(Data!AZ129&lt;=MEDIAN(Data!AZ$4:AZ$195),2,IF(Data!AZ129&lt;=QUARTILE(Data!AZ$4:AZ$195,3),3,4)))</f>
        <v>1</v>
      </c>
      <c r="BA129" s="22">
        <f>IF(Data!BA129&lt;=QUARTILE(Data!BA$4:BA$195,1),1,IF(Data!BA129&lt;=MEDIAN(Data!BA$4:BA$195),2,IF(Data!BA129&lt;=QUARTILE(Data!BA$4:BA$195,3),3,4)))</f>
        <v>1</v>
      </c>
    </row>
    <row r="130" spans="1:53" x14ac:dyDescent="0.25">
      <c r="A130" s="4" t="s">
        <v>13</v>
      </c>
      <c r="B130" s="40">
        <v>2006</v>
      </c>
      <c r="C130" s="25">
        <v>8</v>
      </c>
      <c r="D130" s="28">
        <v>8</v>
      </c>
      <c r="E130" s="77" t="s">
        <v>96</v>
      </c>
      <c r="F130" s="28">
        <v>-1.3</v>
      </c>
      <c r="G130" s="28">
        <v>1</v>
      </c>
      <c r="H130" s="22">
        <v>-2.2999999999999998</v>
      </c>
      <c r="I130" s="25">
        <f>IF(Data!I130&lt;=QUARTILE(Data!I$4:I$195,1),1,IF(Data!I130&lt;=MEDIAN(Data!I$4:I$195),2,IF(Data!I130&lt;=QUARTILE(Data!I$4:I$195,3),3,4)))</f>
        <v>2</v>
      </c>
      <c r="J130" s="28">
        <f>IF(Data!J130&lt;=QUARTILE(Data!J$4:J$195,1),1,IF(Data!J130&lt;=MEDIAN(Data!J$4:J$195),2,IF(Data!J130&lt;=QUARTILE(Data!J$4:J$195,3),3,4)))</f>
        <v>2</v>
      </c>
      <c r="K130" s="28">
        <f>IF(Data!K130&lt;=QUARTILE(Data!K$4:K$195,1),1,IF(Data!K130&lt;=MEDIAN(Data!K$4:K$195),2,IF(Data!K130&lt;=QUARTILE(Data!K$4:K$195,3),3,4)))</f>
        <v>1</v>
      </c>
      <c r="L130" s="22">
        <f>IF(Data!L130&lt;=QUARTILE(Data!L$4:L$195,1),1,IF(Data!L130&lt;=MEDIAN(Data!L$4:L$195),2,IF(Data!L130&lt;=QUARTILE(Data!L$4:L$195,3),3,4)))</f>
        <v>1</v>
      </c>
      <c r="M130" s="28">
        <f>IF(Data!M130&lt;=QUARTILE(Data!M$4:M$195,1),1,IF(Data!M130&lt;=MEDIAN(Data!M$4:M$195),2,IF(Data!M130&lt;=QUARTILE(Data!M$4:M$195,3),3,4)))</f>
        <v>1</v>
      </c>
      <c r="N130" s="28">
        <f>IF(Data!N130&lt;=QUARTILE(Data!N$4:N$195,1),1,IF(Data!N130&lt;=MEDIAN(Data!N$4:N$195),2,IF(Data!N130&lt;=QUARTILE(Data!N$4:N$195,3),3,4)))</f>
        <v>1</v>
      </c>
      <c r="O130" s="28">
        <f>IF(Data!O130&lt;=QUARTILE(Data!O$4:O$195,1),1,IF(Data!O130&lt;=MEDIAN(Data!O$4:O$195),2,IF(Data!O130&lt;=QUARTILE(Data!O$4:O$195,3),3,4)))</f>
        <v>1</v>
      </c>
      <c r="P130" s="28">
        <f>IF(Data!P130&lt;=QUARTILE(Data!P$4:P$195,1),1,IF(Data!P130&lt;=MEDIAN(Data!P$4:P$195),2,IF(Data!P130&lt;=QUARTILE(Data!P$4:P$195,3),3,4)))</f>
        <v>1</v>
      </c>
      <c r="Q130" s="28">
        <f>IF(Data!Q130&lt;=QUARTILE(Data!Q$4:Q$195,1),1,IF(Data!Q130&lt;=MEDIAN(Data!Q$4:Q$195),2,IF(Data!Q130&lt;=QUARTILE(Data!Q$4:Q$195,3),3,4)))</f>
        <v>1</v>
      </c>
      <c r="R130" s="28">
        <f>IF(Data!R130&lt;=QUARTILE(Data!R$4:R$195,1),1,IF(Data!R130&lt;=MEDIAN(Data!R$4:R$195),2,IF(Data!R130&lt;=QUARTILE(Data!R$4:R$195,3),3,4)))</f>
        <v>1</v>
      </c>
      <c r="S130" s="28">
        <f>IF(Data!S130&lt;=QUARTILE(Data!S$4:S$195,1),1,IF(Data!S130&lt;=MEDIAN(Data!S$4:S$195),2,IF(Data!S130&lt;=QUARTILE(Data!S$4:S$195,3),3,4)))</f>
        <v>2</v>
      </c>
      <c r="T130" s="22">
        <f>IF(Data!T130&lt;=QUARTILE(Data!T$4:T$195,1),1,IF(Data!T130&lt;=MEDIAN(Data!T$4:T$195),2,IF(Data!T130&lt;=QUARTILE(Data!T$4:T$195,3),3,4)))</f>
        <v>1</v>
      </c>
      <c r="U130" s="25">
        <f>IF(Data!U130&lt;=QUARTILE(Data!U$4:U$195,1),1,IF(Data!U130&lt;=MEDIAN(Data!U$4:U$195),2,IF(Data!U130&lt;=QUARTILE(Data!U$4:U$195,3),3,4)))</f>
        <v>3</v>
      </c>
      <c r="V130" s="28">
        <f>IF(Data!V130&lt;=QUARTILE(Data!V$4:V$195,1),1,IF(Data!V130&lt;=MEDIAN(Data!V$4:V$195),2,IF(Data!V130&lt;=QUARTILE(Data!V$4:V$195,3),3,4)))</f>
        <v>4</v>
      </c>
      <c r="W130" s="28">
        <f>IF(Data!W130&lt;=QUARTILE(Data!W$4:W$195,1),1,IF(Data!W130&lt;=MEDIAN(Data!W$4:W$195),2,IF(Data!W130&lt;=QUARTILE(Data!W$4:W$195,3),3,4)))</f>
        <v>3</v>
      </c>
      <c r="X130" s="22">
        <f>IF(Data!X130&lt;=QUARTILE(Data!X$4:X$195,1),1,IF(Data!X130&lt;=MEDIAN(Data!X$4:X$195),2,IF(Data!X130&lt;=QUARTILE(Data!X$4:X$195,3),3,4)))</f>
        <v>3</v>
      </c>
      <c r="Y130" s="28">
        <f>IF(Data!Y130&lt;=QUARTILE(Data!Y$4:Y$195,1),1,IF(Data!Y130&lt;=MEDIAN(Data!Y$4:Y$195),2,IF(Data!Y130&lt;=QUARTILE(Data!Y$4:Y$195,3),3,4)))</f>
        <v>3</v>
      </c>
      <c r="Z130" s="22">
        <f>IF(Data!Z130&lt;=QUARTILE(Data!Z$4:Z$195,1),1,IF(Data!Z130&lt;=MEDIAN(Data!Z$4:Z$195),2,IF(Data!Z130&lt;=QUARTILE(Data!Z$4:Z$195,3),3,4)))</f>
        <v>1</v>
      </c>
      <c r="AA130" s="25">
        <f>IF(Data!AA130&lt;=QUARTILE(Data!AA$4:AA$195,1),1,IF(Data!AA130&lt;=MEDIAN(Data!AA$4:AA$195),2,IF(Data!AA130&lt;=QUARTILE(Data!AA$4:AA$195,3),3,4)))</f>
        <v>3</v>
      </c>
      <c r="AB130" s="22">
        <f>IF(Data!AB130&lt;=QUARTILE(Data!AB$4:AB$195,1),1,IF(Data!AB130&lt;=MEDIAN(Data!AB$4:AB$195),2,IF(Data!AB130&lt;=QUARTILE(Data!AB$4:AB$195,3),3,4)))</f>
        <v>4</v>
      </c>
      <c r="AC130" s="25">
        <f>IF(Data!AC130&lt;=QUARTILE(Data!AC$4:AC$195,1),1,IF(Data!AC130&lt;=MEDIAN(Data!AC$4:AC$195),2,IF(Data!AC130&lt;=QUARTILE(Data!AC$4:AC$195,3),3,4)))</f>
        <v>4</v>
      </c>
      <c r="AD130" s="22">
        <f>IF(Data!AD130&lt;=QUARTILE(Data!AD$4:AD$195,1),1,IF(Data!AD130&lt;=MEDIAN(Data!AD$4:AD$195),2,IF(Data!AD130&lt;=QUARTILE(Data!AD$4:AD$195,3),3,4)))</f>
        <v>4</v>
      </c>
      <c r="AE130" s="28">
        <f>IF(Data!AE130&lt;=QUARTILE(Data!AE$4:AE$195,1),1,IF(Data!AE130&lt;=MEDIAN(Data!AE$4:AE$195),2,IF(Data!AE130&lt;=QUARTILE(Data!AE$4:AE$195,3),3,4)))</f>
        <v>2</v>
      </c>
      <c r="AF130" s="28">
        <f>IF(Data!AF130&lt;=QUARTILE(Data!AF$4:AF$195,1),1,IF(Data!AF130&lt;=MEDIAN(Data!AF$4:AF$195),2,IF(Data!AF130&lt;=QUARTILE(Data!AF$4:AF$195,3),3,4)))</f>
        <v>3</v>
      </c>
      <c r="AG130" s="28">
        <f>IF(Data!AG130&lt;=QUARTILE(Data!AG$4:AG$195,1),1,IF(Data!AG130&lt;=MEDIAN(Data!AG$4:AG$195),2,IF(Data!AG130&lt;=QUARTILE(Data!AG$4:AG$195,3),3,4)))</f>
        <v>2</v>
      </c>
      <c r="AH130" s="22">
        <f>IF(Data!AH130&lt;=QUARTILE(Data!AH$4:AH$195,1),1,IF(Data!AH130&lt;=MEDIAN(Data!AH$4:AH$195),2,IF(Data!AH130&lt;=QUARTILE(Data!AH$4:AH$195,3),3,4)))</f>
        <v>1</v>
      </c>
      <c r="AI130" s="25">
        <f>IF(Data!AI130&lt;=QUARTILE(Data!AI$4:AI$195,1),1,IF(Data!AI130&lt;=MEDIAN(Data!AI$4:AI$195),2,IF(Data!AI130&lt;=QUARTILE(Data!AI$4:AI$195,3),3,4)))</f>
        <v>4</v>
      </c>
      <c r="AJ130" s="22">
        <f>IF(Data!AJ130&lt;=QUARTILE(Data!AJ$4:AJ$195,1),1,IF(Data!AJ130&lt;=MEDIAN(Data!AJ$4:AJ$195),2,IF(Data!AJ130&lt;=QUARTILE(Data!AJ$4:AJ$195,3),3,4)))</f>
        <v>4</v>
      </c>
      <c r="AK130" s="25">
        <f>IF(Data!AK130&lt;=QUARTILE(Data!AK$4:AK$195,1),1,IF(Data!AK130&lt;=MEDIAN(Data!AK$4:AK$195),2,IF(Data!AK130&lt;=QUARTILE(Data!AK$4:AK$195,3),3,4)))</f>
        <v>4</v>
      </c>
      <c r="AL130" s="28">
        <f>IF(Data!AL130&lt;=QUARTILE(Data!AL$4:AL$195,1),1,IF(Data!AL130&lt;=MEDIAN(Data!AL$4:AL$195),2,IF(Data!AL130&lt;=QUARTILE(Data!AL$4:AL$195,3),3,4)))</f>
        <v>4</v>
      </c>
      <c r="AM130" s="28">
        <f>IF(Data!AM130&lt;=QUARTILE(Data!AM$4:AM$195,1),1,IF(Data!AM130&lt;=MEDIAN(Data!AM$4:AM$195),2,IF(Data!AM130&lt;=QUARTILE(Data!AM$4:AM$195,3),3,4)))</f>
        <v>4</v>
      </c>
      <c r="AN130" s="22">
        <f>IF(Data!AN130&lt;=QUARTILE(Data!AN$4:AN$195,1),1,IF(Data!AN130&lt;=MEDIAN(Data!AN$4:AN$195),2,IF(Data!AN130&lt;=QUARTILE(Data!AN$4:AN$195,3),3,4)))</f>
        <v>4</v>
      </c>
      <c r="AO130" s="28">
        <f>IF(Data!AO130&lt;=QUARTILE(Data!AO$4:AO$195,1),1,IF(Data!AO130&lt;=MEDIAN(Data!AO$4:AO$195),2,IF(Data!AO130&lt;=QUARTILE(Data!AO$4:AO$195,3),3,4)))</f>
        <v>4</v>
      </c>
      <c r="AP130" s="28">
        <f>IF(Data!AP130&lt;=QUARTILE(Data!AP$4:AP$195,1),1,IF(Data!AP130&lt;=MEDIAN(Data!AP$4:AP$195),2,IF(Data!AP130&lt;=QUARTILE(Data!AP$4:AP$195,3),3,4)))</f>
        <v>3</v>
      </c>
      <c r="AQ130" s="28">
        <f>IF(Data!AQ130&lt;=QUARTILE(Data!AQ$4:AQ$195,1),1,IF(Data!AQ130&lt;=MEDIAN(Data!AQ$4:AQ$195),2,IF(Data!AQ130&lt;=QUARTILE(Data!AQ$4:AQ$195,3),3,4)))</f>
        <v>3</v>
      </c>
      <c r="AR130" s="28">
        <f>IF(Data!AR130&lt;=QUARTILE(Data!AR$4:AR$195,1),1,IF(Data!AR130&lt;=MEDIAN(Data!AR$4:AR$195),2,IF(Data!AR130&lt;=QUARTILE(Data!AR$4:AR$195,3),3,4)))</f>
        <v>3</v>
      </c>
      <c r="AS130" s="28">
        <f>IF(Data!AS130&lt;=QUARTILE(Data!AS$4:AS$195,1),1,IF(Data!AS130&lt;=MEDIAN(Data!AS$4:AS$195),2,IF(Data!AS130&lt;=QUARTILE(Data!AS$4:AS$195,3),3,4)))</f>
        <v>3</v>
      </c>
      <c r="AT130" s="28">
        <f>IF(Data!AT130&lt;=QUARTILE(Data!AT$4:AT$195,1),1,IF(Data!AT130&lt;=MEDIAN(Data!AT$4:AT$195),2,IF(Data!AT130&lt;=QUARTILE(Data!AT$4:AT$195,3),3,4)))</f>
        <v>1</v>
      </c>
      <c r="AU130" s="22">
        <f>IF(Data!AU130&lt;=QUARTILE(Data!AU$4:AU$195,1),1,IF(Data!AU130&lt;=MEDIAN(Data!AU$4:AU$195),2,IF(Data!AU130&lt;=QUARTILE(Data!AU$4:AU$195,3),3,4)))</f>
        <v>1</v>
      </c>
      <c r="AV130" s="25">
        <f>IF(Data!AV130&lt;=QUARTILE(Data!AV$4:AV$195,1),1,IF(Data!AV130&lt;=MEDIAN(Data!AV$4:AV$195),2,IF(Data!AV130&lt;=QUARTILE(Data!AV$4:AV$195,3),3,4)))</f>
        <v>4</v>
      </c>
      <c r="AW130" s="28">
        <f>IF(Data!AW130&lt;=QUARTILE(Data!AW$4:AW$195,1),1,IF(Data!AW130&lt;=MEDIAN(Data!AW$4:AW$195),2,IF(Data!AW130&lt;=QUARTILE(Data!AW$4:AW$195,3),3,4)))</f>
        <v>4</v>
      </c>
      <c r="AX130" s="28">
        <f>IF(Data!AX130&lt;=QUARTILE(Data!AX$4:AX$195,1),1,IF(Data!AX130&lt;=MEDIAN(Data!AX$4:AX$195),2,IF(Data!AX130&lt;=QUARTILE(Data!AX$4:AX$195,3),3,4)))</f>
        <v>4</v>
      </c>
      <c r="AY130" s="22">
        <f>IF(Data!AY130&lt;=QUARTILE(Data!AY$4:AY$195,1),1,IF(Data!AY130&lt;=MEDIAN(Data!AY$4:AY$195),2,IF(Data!AY130&lt;=QUARTILE(Data!AY$4:AY$195,3),3,4)))</f>
        <v>4</v>
      </c>
      <c r="AZ130" s="25">
        <f>IF(Data!AZ130&lt;=QUARTILE(Data!AZ$4:AZ$195,1),1,IF(Data!AZ130&lt;=MEDIAN(Data!AZ$4:AZ$195),2,IF(Data!AZ130&lt;=QUARTILE(Data!AZ$4:AZ$195,3),3,4)))</f>
        <v>3</v>
      </c>
      <c r="BA130" s="22">
        <f>IF(Data!BA130&lt;=QUARTILE(Data!BA$4:BA$195,1),1,IF(Data!BA130&lt;=MEDIAN(Data!BA$4:BA$195),2,IF(Data!BA130&lt;=QUARTILE(Data!BA$4:BA$195,3),3,4)))</f>
        <v>2</v>
      </c>
    </row>
    <row r="131" spans="1:53" ht="15.75" thickBot="1" x14ac:dyDescent="0.3">
      <c r="A131" s="6" t="s">
        <v>22</v>
      </c>
      <c r="B131" s="41">
        <v>2006</v>
      </c>
      <c r="C131" s="26">
        <v>5</v>
      </c>
      <c r="D131" s="29">
        <v>11</v>
      </c>
      <c r="E131" s="78" t="s">
        <v>96</v>
      </c>
      <c r="F131" s="29">
        <v>-4</v>
      </c>
      <c r="G131" s="29">
        <v>-2.1</v>
      </c>
      <c r="H131" s="23">
        <v>-2</v>
      </c>
      <c r="I131" s="26">
        <f>IF(Data!I131&lt;=QUARTILE(Data!I$4:I$195,1),1,IF(Data!I131&lt;=MEDIAN(Data!I$4:I$195),2,IF(Data!I131&lt;=QUARTILE(Data!I$4:I$195,3),3,4)))</f>
        <v>2</v>
      </c>
      <c r="J131" s="29">
        <f>IF(Data!J131&lt;=QUARTILE(Data!J$4:J$195,1),1,IF(Data!J131&lt;=MEDIAN(Data!J$4:J$195),2,IF(Data!J131&lt;=QUARTILE(Data!J$4:J$195,3),3,4)))</f>
        <v>3</v>
      </c>
      <c r="K131" s="29">
        <f>IF(Data!K131&lt;=QUARTILE(Data!K$4:K$195,1),1,IF(Data!K131&lt;=MEDIAN(Data!K$4:K$195),2,IF(Data!K131&lt;=QUARTILE(Data!K$4:K$195,3),3,4)))</f>
        <v>2</v>
      </c>
      <c r="L131" s="23">
        <f>IF(Data!L131&lt;=QUARTILE(Data!L$4:L$195,1),1,IF(Data!L131&lt;=MEDIAN(Data!L$4:L$195),2,IF(Data!L131&lt;=QUARTILE(Data!L$4:L$195,3),3,4)))</f>
        <v>2</v>
      </c>
      <c r="M131" s="29">
        <f>IF(Data!M131&lt;=QUARTILE(Data!M$4:M$195,1),1,IF(Data!M131&lt;=MEDIAN(Data!M$4:M$195),2,IF(Data!M131&lt;=QUARTILE(Data!M$4:M$195,3),3,4)))</f>
        <v>1</v>
      </c>
      <c r="N131" s="29">
        <f>IF(Data!N131&lt;=QUARTILE(Data!N$4:N$195,1),1,IF(Data!N131&lt;=MEDIAN(Data!N$4:N$195),2,IF(Data!N131&lt;=QUARTILE(Data!N$4:N$195,3),3,4)))</f>
        <v>1</v>
      </c>
      <c r="O131" s="29">
        <f>IF(Data!O131&lt;=QUARTILE(Data!O$4:O$195,1),1,IF(Data!O131&lt;=MEDIAN(Data!O$4:O$195),2,IF(Data!O131&lt;=QUARTILE(Data!O$4:O$195,3),3,4)))</f>
        <v>2</v>
      </c>
      <c r="P131" s="29">
        <f>IF(Data!P131&lt;=QUARTILE(Data!P$4:P$195,1),1,IF(Data!P131&lt;=MEDIAN(Data!P$4:P$195),2,IF(Data!P131&lt;=QUARTILE(Data!P$4:P$195,3),3,4)))</f>
        <v>2</v>
      </c>
      <c r="Q131" s="29">
        <f>IF(Data!Q131&lt;=QUARTILE(Data!Q$4:Q$195,1),1,IF(Data!Q131&lt;=MEDIAN(Data!Q$4:Q$195),2,IF(Data!Q131&lt;=QUARTILE(Data!Q$4:Q$195,3),3,4)))</f>
        <v>1</v>
      </c>
      <c r="R131" s="29">
        <f>IF(Data!R131&lt;=QUARTILE(Data!R$4:R$195,1),1,IF(Data!R131&lt;=MEDIAN(Data!R$4:R$195),2,IF(Data!R131&lt;=QUARTILE(Data!R$4:R$195,3),3,4)))</f>
        <v>3</v>
      </c>
      <c r="S131" s="29">
        <f>IF(Data!S131&lt;=QUARTILE(Data!S$4:S$195,1),1,IF(Data!S131&lt;=MEDIAN(Data!S$4:S$195),2,IF(Data!S131&lt;=QUARTILE(Data!S$4:S$195,3),3,4)))</f>
        <v>1</v>
      </c>
      <c r="T131" s="23">
        <f>IF(Data!T131&lt;=QUARTILE(Data!T$4:T$195,1),1,IF(Data!T131&lt;=MEDIAN(Data!T$4:T$195),2,IF(Data!T131&lt;=QUARTILE(Data!T$4:T$195,3),3,4)))</f>
        <v>1</v>
      </c>
      <c r="U131" s="26">
        <f>IF(Data!U131&lt;=QUARTILE(Data!U$4:U$195,1),1,IF(Data!U131&lt;=MEDIAN(Data!U$4:U$195),2,IF(Data!U131&lt;=QUARTILE(Data!U$4:U$195,3),3,4)))</f>
        <v>4</v>
      </c>
      <c r="V131" s="29">
        <f>IF(Data!V131&lt;=QUARTILE(Data!V$4:V$195,1),1,IF(Data!V131&lt;=MEDIAN(Data!V$4:V$195),2,IF(Data!V131&lt;=QUARTILE(Data!V$4:V$195,3),3,4)))</f>
        <v>4</v>
      </c>
      <c r="W131" s="29">
        <f>IF(Data!W131&lt;=QUARTILE(Data!W$4:W$195,1),1,IF(Data!W131&lt;=MEDIAN(Data!W$4:W$195),2,IF(Data!W131&lt;=QUARTILE(Data!W$4:W$195,3),3,4)))</f>
        <v>2</v>
      </c>
      <c r="X131" s="23">
        <f>IF(Data!X131&lt;=QUARTILE(Data!X$4:X$195,1),1,IF(Data!X131&lt;=MEDIAN(Data!X$4:X$195),2,IF(Data!X131&lt;=QUARTILE(Data!X$4:X$195,3),3,4)))</f>
        <v>4</v>
      </c>
      <c r="Y131" s="29">
        <f>IF(Data!Y131&lt;=QUARTILE(Data!Y$4:Y$195,1),1,IF(Data!Y131&lt;=MEDIAN(Data!Y$4:Y$195),2,IF(Data!Y131&lt;=QUARTILE(Data!Y$4:Y$195,3),3,4)))</f>
        <v>1</v>
      </c>
      <c r="Z131" s="23">
        <f>IF(Data!Z131&lt;=QUARTILE(Data!Z$4:Z$195,1),1,IF(Data!Z131&lt;=MEDIAN(Data!Z$4:Z$195),2,IF(Data!Z131&lt;=QUARTILE(Data!Z$4:Z$195,3),3,4)))</f>
        <v>1</v>
      </c>
      <c r="AA131" s="26">
        <f>IF(Data!AA131&lt;=QUARTILE(Data!AA$4:AA$195,1),1,IF(Data!AA131&lt;=MEDIAN(Data!AA$4:AA$195),2,IF(Data!AA131&lt;=QUARTILE(Data!AA$4:AA$195,3),3,4)))</f>
        <v>3</v>
      </c>
      <c r="AB131" s="23">
        <f>IF(Data!AB131&lt;=QUARTILE(Data!AB$4:AB$195,1),1,IF(Data!AB131&lt;=MEDIAN(Data!AB$4:AB$195),2,IF(Data!AB131&lt;=QUARTILE(Data!AB$4:AB$195,3),3,4)))</f>
        <v>3</v>
      </c>
      <c r="AC131" s="26">
        <f>IF(Data!AC131&lt;=QUARTILE(Data!AC$4:AC$195,1),1,IF(Data!AC131&lt;=MEDIAN(Data!AC$4:AC$195),2,IF(Data!AC131&lt;=QUARTILE(Data!AC$4:AC$195,3),3,4)))</f>
        <v>3</v>
      </c>
      <c r="AD131" s="23">
        <f>IF(Data!AD131&lt;=QUARTILE(Data!AD$4:AD$195,1),1,IF(Data!AD131&lt;=MEDIAN(Data!AD$4:AD$195),2,IF(Data!AD131&lt;=QUARTILE(Data!AD$4:AD$195,3),3,4)))</f>
        <v>4</v>
      </c>
      <c r="AE131" s="29">
        <f>IF(Data!AE131&lt;=QUARTILE(Data!AE$4:AE$195,1),1,IF(Data!AE131&lt;=MEDIAN(Data!AE$4:AE$195),2,IF(Data!AE131&lt;=QUARTILE(Data!AE$4:AE$195,3),3,4)))</f>
        <v>2</v>
      </c>
      <c r="AF131" s="29">
        <f>IF(Data!AF131&lt;=QUARTILE(Data!AF$4:AF$195,1),1,IF(Data!AF131&lt;=MEDIAN(Data!AF$4:AF$195),2,IF(Data!AF131&lt;=QUARTILE(Data!AF$4:AF$195,3),3,4)))</f>
        <v>2</v>
      </c>
      <c r="AG131" s="29">
        <f>IF(Data!AG131&lt;=QUARTILE(Data!AG$4:AG$195,1),1,IF(Data!AG131&lt;=MEDIAN(Data!AG$4:AG$195),2,IF(Data!AG131&lt;=QUARTILE(Data!AG$4:AG$195,3),3,4)))</f>
        <v>3</v>
      </c>
      <c r="AH131" s="23">
        <f>IF(Data!AH131&lt;=QUARTILE(Data!AH$4:AH$195,1),1,IF(Data!AH131&lt;=MEDIAN(Data!AH$4:AH$195),2,IF(Data!AH131&lt;=QUARTILE(Data!AH$4:AH$195,3),3,4)))</f>
        <v>2</v>
      </c>
      <c r="AI131" s="26">
        <f>IF(Data!AI131&lt;=QUARTILE(Data!AI$4:AI$195,1),1,IF(Data!AI131&lt;=MEDIAN(Data!AI$4:AI$195),2,IF(Data!AI131&lt;=QUARTILE(Data!AI$4:AI$195,3),3,4)))</f>
        <v>3</v>
      </c>
      <c r="AJ131" s="23">
        <f>IF(Data!AJ131&lt;=QUARTILE(Data!AJ$4:AJ$195,1),1,IF(Data!AJ131&lt;=MEDIAN(Data!AJ$4:AJ$195),2,IF(Data!AJ131&lt;=QUARTILE(Data!AJ$4:AJ$195,3),3,4)))</f>
        <v>3</v>
      </c>
      <c r="AK131" s="26">
        <f>IF(Data!AK131&lt;=QUARTILE(Data!AK$4:AK$195,1),1,IF(Data!AK131&lt;=MEDIAN(Data!AK$4:AK$195),2,IF(Data!AK131&lt;=QUARTILE(Data!AK$4:AK$195,3),3,4)))</f>
        <v>3</v>
      </c>
      <c r="AL131" s="29">
        <f>IF(Data!AL131&lt;=QUARTILE(Data!AL$4:AL$195,1),1,IF(Data!AL131&lt;=MEDIAN(Data!AL$4:AL$195),2,IF(Data!AL131&lt;=QUARTILE(Data!AL$4:AL$195,3),3,4)))</f>
        <v>4</v>
      </c>
      <c r="AM131" s="29">
        <f>IF(Data!AM131&lt;=QUARTILE(Data!AM$4:AM$195,1),1,IF(Data!AM131&lt;=MEDIAN(Data!AM$4:AM$195),2,IF(Data!AM131&lt;=QUARTILE(Data!AM$4:AM$195,3),3,4)))</f>
        <v>2</v>
      </c>
      <c r="AN131" s="23">
        <f>IF(Data!AN131&lt;=QUARTILE(Data!AN$4:AN$195,1),1,IF(Data!AN131&lt;=MEDIAN(Data!AN$4:AN$195),2,IF(Data!AN131&lt;=QUARTILE(Data!AN$4:AN$195,3),3,4)))</f>
        <v>3</v>
      </c>
      <c r="AO131" s="29">
        <f>IF(Data!AO131&lt;=QUARTILE(Data!AO$4:AO$195,1),1,IF(Data!AO131&lt;=MEDIAN(Data!AO$4:AO$195),2,IF(Data!AO131&lt;=QUARTILE(Data!AO$4:AO$195,3),3,4)))</f>
        <v>1</v>
      </c>
      <c r="AP131" s="29">
        <f>IF(Data!AP131&lt;=QUARTILE(Data!AP$4:AP$195,1),1,IF(Data!AP131&lt;=MEDIAN(Data!AP$4:AP$195),2,IF(Data!AP131&lt;=QUARTILE(Data!AP$4:AP$195,3),3,4)))</f>
        <v>1</v>
      </c>
      <c r="AQ131" s="29">
        <f>IF(Data!AQ131&lt;=QUARTILE(Data!AQ$4:AQ$195,1),1,IF(Data!AQ131&lt;=MEDIAN(Data!AQ$4:AQ$195),2,IF(Data!AQ131&lt;=QUARTILE(Data!AQ$4:AQ$195,3),3,4)))</f>
        <v>3</v>
      </c>
      <c r="AR131" s="29">
        <f>IF(Data!AR131&lt;=QUARTILE(Data!AR$4:AR$195,1),1,IF(Data!AR131&lt;=MEDIAN(Data!AR$4:AR$195),2,IF(Data!AR131&lt;=QUARTILE(Data!AR$4:AR$195,3),3,4)))</f>
        <v>4</v>
      </c>
      <c r="AS131" s="29">
        <f>IF(Data!AS131&lt;=QUARTILE(Data!AS$4:AS$195,1),1,IF(Data!AS131&lt;=MEDIAN(Data!AS$4:AS$195),2,IF(Data!AS131&lt;=QUARTILE(Data!AS$4:AS$195,3),3,4)))</f>
        <v>2</v>
      </c>
      <c r="AT131" s="29">
        <f>IF(Data!AT131&lt;=QUARTILE(Data!AT$4:AT$195,1),1,IF(Data!AT131&lt;=MEDIAN(Data!AT$4:AT$195),2,IF(Data!AT131&lt;=QUARTILE(Data!AT$4:AT$195,3),3,4)))</f>
        <v>1</v>
      </c>
      <c r="AU131" s="23">
        <f>IF(Data!AU131&lt;=QUARTILE(Data!AU$4:AU$195,1),1,IF(Data!AU131&lt;=MEDIAN(Data!AU$4:AU$195),2,IF(Data!AU131&lt;=QUARTILE(Data!AU$4:AU$195,3),3,4)))</f>
        <v>1</v>
      </c>
      <c r="AV131" s="26">
        <f>IF(Data!AV131&lt;=QUARTILE(Data!AV$4:AV$195,1),1,IF(Data!AV131&lt;=MEDIAN(Data!AV$4:AV$195),2,IF(Data!AV131&lt;=QUARTILE(Data!AV$4:AV$195,3),3,4)))</f>
        <v>4</v>
      </c>
      <c r="AW131" s="29">
        <f>IF(Data!AW131&lt;=QUARTILE(Data!AW$4:AW$195,1),1,IF(Data!AW131&lt;=MEDIAN(Data!AW$4:AW$195),2,IF(Data!AW131&lt;=QUARTILE(Data!AW$4:AW$195,3),3,4)))</f>
        <v>4</v>
      </c>
      <c r="AX131" s="29">
        <f>IF(Data!AX131&lt;=QUARTILE(Data!AX$4:AX$195,1),1,IF(Data!AX131&lt;=MEDIAN(Data!AX$4:AX$195),2,IF(Data!AX131&lt;=QUARTILE(Data!AX$4:AX$195,3),3,4)))</f>
        <v>1</v>
      </c>
      <c r="AY131" s="23">
        <f>IF(Data!AY131&lt;=QUARTILE(Data!AY$4:AY$195,1),1,IF(Data!AY131&lt;=MEDIAN(Data!AY$4:AY$195),2,IF(Data!AY131&lt;=QUARTILE(Data!AY$4:AY$195,3),3,4)))</f>
        <v>3</v>
      </c>
      <c r="AZ131" s="26">
        <f>IF(Data!AZ131&lt;=QUARTILE(Data!AZ$4:AZ$195,1),1,IF(Data!AZ131&lt;=MEDIAN(Data!AZ$4:AZ$195),2,IF(Data!AZ131&lt;=QUARTILE(Data!AZ$4:AZ$195,3),3,4)))</f>
        <v>1</v>
      </c>
      <c r="BA131" s="23">
        <f>IF(Data!BA131&lt;=QUARTILE(Data!BA$4:BA$195,1),1,IF(Data!BA131&lt;=MEDIAN(Data!BA$4:BA$195),2,IF(Data!BA131&lt;=QUARTILE(Data!BA$4:BA$195,3),3,4)))</f>
        <v>1</v>
      </c>
    </row>
    <row r="132" spans="1:53" x14ac:dyDescent="0.25">
      <c r="A132" s="11" t="s">
        <v>31</v>
      </c>
      <c r="B132" s="39">
        <v>2005</v>
      </c>
      <c r="C132" s="24">
        <v>5</v>
      </c>
      <c r="D132" s="27">
        <v>11</v>
      </c>
      <c r="E132" s="76" t="s">
        <v>96</v>
      </c>
      <c r="F132" s="27">
        <v>-5</v>
      </c>
      <c r="G132" s="27">
        <v>-2</v>
      </c>
      <c r="H132" s="21">
        <v>-3</v>
      </c>
      <c r="I132" s="24">
        <f>IF(Data!I132&lt;=QUARTILE(Data!I$4:I$195,1),1,IF(Data!I132&lt;=MEDIAN(Data!I$4:I$195),2,IF(Data!I132&lt;=QUARTILE(Data!I$4:I$195,3),3,4)))</f>
        <v>2</v>
      </c>
      <c r="J132" s="27">
        <f>IF(Data!J132&lt;=QUARTILE(Data!J$4:J$195,1),1,IF(Data!J132&lt;=MEDIAN(Data!J$4:J$195),2,IF(Data!J132&lt;=QUARTILE(Data!J$4:J$195,3),3,4)))</f>
        <v>3</v>
      </c>
      <c r="K132" s="27">
        <f>IF(Data!K132&lt;=QUARTILE(Data!K$4:K$195,1),1,IF(Data!K132&lt;=MEDIAN(Data!K$4:K$195),2,IF(Data!K132&lt;=QUARTILE(Data!K$4:K$195,3),3,4)))</f>
        <v>4</v>
      </c>
      <c r="L132" s="21">
        <f>IF(Data!L132&lt;=QUARTILE(Data!L$4:L$195,1),1,IF(Data!L132&lt;=MEDIAN(Data!L$4:L$195),2,IF(Data!L132&lt;=QUARTILE(Data!L$4:L$195,3),3,4)))</f>
        <v>3</v>
      </c>
      <c r="M132" s="27">
        <f>IF(Data!M132&lt;=QUARTILE(Data!M$4:M$195,1),1,IF(Data!M132&lt;=MEDIAN(Data!M$4:M$195),2,IF(Data!M132&lt;=QUARTILE(Data!M$4:M$195,3),3,4)))</f>
        <v>4</v>
      </c>
      <c r="N132" s="27">
        <f>IF(Data!N132&lt;=QUARTILE(Data!N$4:N$195,1),1,IF(Data!N132&lt;=MEDIAN(Data!N$4:N$195),2,IF(Data!N132&lt;=QUARTILE(Data!N$4:N$195,3),3,4)))</f>
        <v>4</v>
      </c>
      <c r="O132" s="27">
        <f>IF(Data!O132&lt;=QUARTILE(Data!O$4:O$195,1),1,IF(Data!O132&lt;=MEDIAN(Data!O$4:O$195),2,IF(Data!O132&lt;=QUARTILE(Data!O$4:O$195,3),3,4)))</f>
        <v>4</v>
      </c>
      <c r="P132" s="27">
        <f>IF(Data!P132&lt;=QUARTILE(Data!P$4:P$195,1),1,IF(Data!P132&lt;=MEDIAN(Data!P$4:P$195),2,IF(Data!P132&lt;=QUARTILE(Data!P$4:P$195,3),3,4)))</f>
        <v>2</v>
      </c>
      <c r="Q132" s="27">
        <f>IF(Data!Q132&lt;=QUARTILE(Data!Q$4:Q$195,1),1,IF(Data!Q132&lt;=MEDIAN(Data!Q$4:Q$195),2,IF(Data!Q132&lt;=QUARTILE(Data!Q$4:Q$195,3),3,4)))</f>
        <v>4</v>
      </c>
      <c r="R132" s="27">
        <f>IF(Data!R132&lt;=QUARTILE(Data!R$4:R$195,1),1,IF(Data!R132&lt;=MEDIAN(Data!R$4:R$195),2,IF(Data!R132&lt;=QUARTILE(Data!R$4:R$195,3),3,4)))</f>
        <v>2</v>
      </c>
      <c r="S132" s="27">
        <f>IF(Data!S132&lt;=QUARTILE(Data!S$4:S$195,1),1,IF(Data!S132&lt;=MEDIAN(Data!S$4:S$195),2,IF(Data!S132&lt;=QUARTILE(Data!S$4:S$195,3),3,4)))</f>
        <v>4</v>
      </c>
      <c r="T132" s="21">
        <f>IF(Data!T132&lt;=QUARTILE(Data!T$4:T$195,1),1,IF(Data!T132&lt;=MEDIAN(Data!T$4:T$195),2,IF(Data!T132&lt;=QUARTILE(Data!T$4:T$195,3),3,4)))</f>
        <v>4</v>
      </c>
      <c r="U132" s="24">
        <f>IF(Data!U132&lt;=QUARTILE(Data!U$4:U$195,1),1,IF(Data!U132&lt;=MEDIAN(Data!U$4:U$195),2,IF(Data!U132&lt;=QUARTILE(Data!U$4:U$195,3),3,4)))</f>
        <v>1</v>
      </c>
      <c r="V132" s="27">
        <f>IF(Data!V132&lt;=QUARTILE(Data!V$4:V$195,1),1,IF(Data!V132&lt;=MEDIAN(Data!V$4:V$195),2,IF(Data!V132&lt;=QUARTILE(Data!V$4:V$195,3),3,4)))</f>
        <v>1</v>
      </c>
      <c r="W132" s="27">
        <f>IF(Data!W132&lt;=QUARTILE(Data!W$4:W$195,1),1,IF(Data!W132&lt;=MEDIAN(Data!W$4:W$195),2,IF(Data!W132&lt;=QUARTILE(Data!W$4:W$195,3),3,4)))</f>
        <v>1</v>
      </c>
      <c r="X132" s="21">
        <f>IF(Data!X132&lt;=QUARTILE(Data!X$4:X$195,1),1,IF(Data!X132&lt;=MEDIAN(Data!X$4:X$195),2,IF(Data!X132&lt;=QUARTILE(Data!X$4:X$195,3),3,4)))</f>
        <v>1</v>
      </c>
      <c r="Y132" s="30">
        <f>IF(Data!Y132&lt;=QUARTILE(Data!Y$4:Y$195,1),1,IF(Data!Y132&lt;=MEDIAN(Data!Y$4:Y$195),2,IF(Data!Y132&lt;=QUARTILE(Data!Y$4:Y$195,3),3,4)))</f>
        <v>4</v>
      </c>
      <c r="Z132" s="30">
        <f>IF(Data!Z132&lt;=QUARTILE(Data!Z$4:Z$195,1),1,IF(Data!Z132&lt;=MEDIAN(Data!Z$4:Z$195),2,IF(Data!Z132&lt;=QUARTILE(Data!Z$4:Z$195,3),3,4)))</f>
        <v>3</v>
      </c>
      <c r="AA132" s="24">
        <f>IF(Data!AA132&lt;=QUARTILE(Data!AA$4:AA$195,1),1,IF(Data!AA132&lt;=MEDIAN(Data!AA$4:AA$195),2,IF(Data!AA132&lt;=QUARTILE(Data!AA$4:AA$195,3),3,4)))</f>
        <v>4</v>
      </c>
      <c r="AB132" s="21">
        <f>IF(Data!AB132&lt;=QUARTILE(Data!AB$4:AB$195,1),1,IF(Data!AB132&lt;=MEDIAN(Data!AB$4:AB$195),2,IF(Data!AB132&lt;=QUARTILE(Data!AB$4:AB$195,3),3,4)))</f>
        <v>3</v>
      </c>
      <c r="AC132" s="24">
        <f>IF(Data!AC132&lt;=QUARTILE(Data!AC$4:AC$195,1),1,IF(Data!AC132&lt;=MEDIAN(Data!AC$4:AC$195),2,IF(Data!AC132&lt;=QUARTILE(Data!AC$4:AC$195,3),3,4)))</f>
        <v>4</v>
      </c>
      <c r="AD132" s="21">
        <f>IF(Data!AD132&lt;=QUARTILE(Data!AD$4:AD$195,1),1,IF(Data!AD132&lt;=MEDIAN(Data!AD$4:AD$195),2,IF(Data!AD132&lt;=QUARTILE(Data!AD$4:AD$195,3),3,4)))</f>
        <v>4</v>
      </c>
      <c r="AE132" s="27">
        <f>IF(Data!AE132&lt;=QUARTILE(Data!AE$4:AE$195,1),1,IF(Data!AE132&lt;=MEDIAN(Data!AE$4:AE$195),2,IF(Data!AE132&lt;=QUARTILE(Data!AE$4:AE$195,3),3,4)))</f>
        <v>4</v>
      </c>
      <c r="AF132" s="27">
        <f>IF(Data!AF132&lt;=QUARTILE(Data!AF$4:AF$195,1),1,IF(Data!AF132&lt;=MEDIAN(Data!AF$4:AF$195),2,IF(Data!AF132&lt;=QUARTILE(Data!AF$4:AF$195,3),3,4)))</f>
        <v>4</v>
      </c>
      <c r="AG132" s="27">
        <f>IF(Data!AG132&lt;=QUARTILE(Data!AG$4:AG$195,1),1,IF(Data!AG132&lt;=MEDIAN(Data!AG$4:AG$195),2,IF(Data!AG132&lt;=QUARTILE(Data!AG$4:AG$195,3),3,4)))</f>
        <v>4</v>
      </c>
      <c r="AH132" s="21">
        <f>IF(Data!AH132&lt;=QUARTILE(Data!AH$4:AH$195,1),1,IF(Data!AH132&lt;=MEDIAN(Data!AH$4:AH$195),2,IF(Data!AH132&lt;=QUARTILE(Data!AH$4:AH$195,3),3,4)))</f>
        <v>4</v>
      </c>
      <c r="AI132" s="24">
        <f>IF(Data!AI132&lt;=QUARTILE(Data!AI$4:AI$195,1),1,IF(Data!AI132&lt;=MEDIAN(Data!AI$4:AI$195),2,IF(Data!AI132&lt;=QUARTILE(Data!AI$4:AI$195,3),3,4)))</f>
        <v>2</v>
      </c>
      <c r="AJ132" s="21">
        <f>IF(Data!AJ132&lt;=QUARTILE(Data!AJ$4:AJ$195,1),1,IF(Data!AJ132&lt;=MEDIAN(Data!AJ$4:AJ$195),2,IF(Data!AJ132&lt;=QUARTILE(Data!AJ$4:AJ$195,3),3,4)))</f>
        <v>3</v>
      </c>
      <c r="AK132" s="24">
        <f>IF(Data!AK132&lt;=QUARTILE(Data!AK$4:AK$195,1),1,IF(Data!AK132&lt;=MEDIAN(Data!AK$4:AK$195),2,IF(Data!AK132&lt;=QUARTILE(Data!AK$4:AK$195,3),3,4)))</f>
        <v>4</v>
      </c>
      <c r="AL132" s="27">
        <f>IF(Data!AL132&lt;=QUARTILE(Data!AL$4:AL$195,1),1,IF(Data!AL132&lt;=MEDIAN(Data!AL$4:AL$195),2,IF(Data!AL132&lt;=QUARTILE(Data!AL$4:AL$195,3),3,4)))</f>
        <v>1</v>
      </c>
      <c r="AM132" s="27">
        <f>IF(Data!AM132&lt;=QUARTILE(Data!AM$4:AM$195,1),1,IF(Data!AM132&lt;=MEDIAN(Data!AM$4:AM$195),2,IF(Data!AM132&lt;=QUARTILE(Data!AM$4:AM$195,3),3,4)))</f>
        <v>1</v>
      </c>
      <c r="AN132" s="21">
        <f>IF(Data!AN132&lt;=QUARTILE(Data!AN$4:AN$195,1),1,IF(Data!AN132&lt;=MEDIAN(Data!AN$4:AN$195),2,IF(Data!AN132&lt;=QUARTILE(Data!AN$4:AN$195,3),3,4)))</f>
        <v>1</v>
      </c>
      <c r="AO132" s="27">
        <f>IF(Data!AO132&lt;=QUARTILE(Data!AO$4:AO$195,1),1,IF(Data!AO132&lt;=MEDIAN(Data!AO$4:AO$195),2,IF(Data!AO132&lt;=QUARTILE(Data!AO$4:AO$195,3),3,4)))</f>
        <v>2</v>
      </c>
      <c r="AP132" s="27">
        <f>IF(Data!AP132&lt;=QUARTILE(Data!AP$4:AP$195,1),1,IF(Data!AP132&lt;=MEDIAN(Data!AP$4:AP$195),2,IF(Data!AP132&lt;=QUARTILE(Data!AP$4:AP$195,3),3,4)))</f>
        <v>1</v>
      </c>
      <c r="AQ132" s="27">
        <f>IF(Data!AQ132&lt;=QUARTILE(Data!AQ$4:AQ$195,1),1,IF(Data!AQ132&lt;=MEDIAN(Data!AQ$4:AQ$195),2,IF(Data!AQ132&lt;=QUARTILE(Data!AQ$4:AQ$195,3),3,4)))</f>
        <v>2</v>
      </c>
      <c r="AR132" s="27">
        <f>IF(Data!AR132&lt;=QUARTILE(Data!AR$4:AR$195,1),1,IF(Data!AR132&lt;=MEDIAN(Data!AR$4:AR$195),2,IF(Data!AR132&lt;=QUARTILE(Data!AR$4:AR$195,3),3,4)))</f>
        <v>1</v>
      </c>
      <c r="AS132" s="27">
        <f>IF(Data!AS132&lt;=QUARTILE(Data!AS$4:AS$195,1),1,IF(Data!AS132&lt;=MEDIAN(Data!AS$4:AS$195),2,IF(Data!AS132&lt;=QUARTILE(Data!AS$4:AS$195,3),3,4)))</f>
        <v>1</v>
      </c>
      <c r="AT132" s="27">
        <f>IF(Data!AT132&lt;=QUARTILE(Data!AT$4:AT$195,1),1,IF(Data!AT132&lt;=MEDIAN(Data!AT$4:AT$195),2,IF(Data!AT132&lt;=QUARTILE(Data!AT$4:AT$195,3),3,4)))</f>
        <v>3</v>
      </c>
      <c r="AU132" s="21">
        <f>IF(Data!AU132&lt;=QUARTILE(Data!AU$4:AU$195,1),1,IF(Data!AU132&lt;=MEDIAN(Data!AU$4:AU$195),2,IF(Data!AU132&lt;=QUARTILE(Data!AU$4:AU$195,3),3,4)))</f>
        <v>2</v>
      </c>
      <c r="AV132" s="24">
        <f>IF(Data!AV132&lt;=QUARTILE(Data!AV$4:AV$195,1),1,IF(Data!AV132&lt;=MEDIAN(Data!AV$4:AV$195),2,IF(Data!AV132&lt;=QUARTILE(Data!AV$4:AV$195,3),3,4)))</f>
        <v>2</v>
      </c>
      <c r="AW132" s="27">
        <f>IF(Data!AW132&lt;=QUARTILE(Data!AW$4:AW$195,1),1,IF(Data!AW132&lt;=MEDIAN(Data!AW$4:AW$195),2,IF(Data!AW132&lt;=QUARTILE(Data!AW$4:AW$195,3),3,4)))</f>
        <v>2</v>
      </c>
      <c r="AX132" s="27">
        <f>IF(Data!AX132&lt;=QUARTILE(Data!AX$4:AX$195,1),1,IF(Data!AX132&lt;=MEDIAN(Data!AX$4:AX$195),2,IF(Data!AX132&lt;=QUARTILE(Data!AX$4:AX$195,3),3,4)))</f>
        <v>4</v>
      </c>
      <c r="AY132" s="21">
        <f>IF(Data!AY132&lt;=QUARTILE(Data!AY$4:AY$195,1),1,IF(Data!AY132&lt;=MEDIAN(Data!AY$4:AY$195),2,IF(Data!AY132&lt;=QUARTILE(Data!AY$4:AY$195,3),3,4)))</f>
        <v>1</v>
      </c>
      <c r="AZ132" s="24">
        <f>IF(Data!AZ132&lt;=QUARTILE(Data!AZ$4:AZ$195,1),1,IF(Data!AZ132&lt;=MEDIAN(Data!AZ$4:AZ$195),2,IF(Data!AZ132&lt;=QUARTILE(Data!AZ$4:AZ$195,3),3,4)))</f>
        <v>2</v>
      </c>
      <c r="BA132" s="21">
        <f>IF(Data!BA132&lt;=QUARTILE(Data!BA$4:BA$195,1),1,IF(Data!BA132&lt;=MEDIAN(Data!BA$4:BA$195),2,IF(Data!BA132&lt;=QUARTILE(Data!BA$4:BA$195,3),3,4)))</f>
        <v>2</v>
      </c>
    </row>
    <row r="133" spans="1:53" x14ac:dyDescent="0.25">
      <c r="A133" s="4" t="s">
        <v>28</v>
      </c>
      <c r="B133" s="40">
        <v>2005</v>
      </c>
      <c r="C133" s="25">
        <v>8</v>
      </c>
      <c r="D133" s="28">
        <v>8</v>
      </c>
      <c r="E133" s="77" t="s">
        <v>96</v>
      </c>
      <c r="F133" s="28">
        <v>-1.2</v>
      </c>
      <c r="G133" s="28">
        <v>1.1000000000000001</v>
      </c>
      <c r="H133" s="22">
        <v>-2.2999999999999998</v>
      </c>
      <c r="I133" s="25">
        <f>IF(Data!I133&lt;=QUARTILE(Data!I$4:I$195,1),1,IF(Data!I133&lt;=MEDIAN(Data!I$4:I$195),2,IF(Data!I133&lt;=QUARTILE(Data!I$4:I$195,3),3,4)))</f>
        <v>3</v>
      </c>
      <c r="J133" s="28">
        <f>IF(Data!J133&lt;=QUARTILE(Data!J$4:J$195,1),1,IF(Data!J133&lt;=MEDIAN(Data!J$4:J$195),2,IF(Data!J133&lt;=QUARTILE(Data!J$4:J$195,3),3,4)))</f>
        <v>3</v>
      </c>
      <c r="K133" s="28">
        <f>IF(Data!K133&lt;=QUARTILE(Data!K$4:K$195,1),1,IF(Data!K133&lt;=MEDIAN(Data!K$4:K$195),2,IF(Data!K133&lt;=QUARTILE(Data!K$4:K$195,3),3,4)))</f>
        <v>3</v>
      </c>
      <c r="L133" s="22">
        <f>IF(Data!L133&lt;=QUARTILE(Data!L$4:L$195,1),1,IF(Data!L133&lt;=MEDIAN(Data!L$4:L$195),2,IF(Data!L133&lt;=QUARTILE(Data!L$4:L$195,3),3,4)))</f>
        <v>3</v>
      </c>
      <c r="M133" s="28">
        <f>IF(Data!M133&lt;=QUARTILE(Data!M$4:M$195,1),1,IF(Data!M133&lt;=MEDIAN(Data!M$4:M$195),2,IF(Data!M133&lt;=QUARTILE(Data!M$4:M$195,3),3,4)))</f>
        <v>1</v>
      </c>
      <c r="N133" s="28">
        <f>IF(Data!N133&lt;=QUARTILE(Data!N$4:N$195,1),1,IF(Data!N133&lt;=MEDIAN(Data!N$4:N$195),2,IF(Data!N133&lt;=QUARTILE(Data!N$4:N$195,3),3,4)))</f>
        <v>1</v>
      </c>
      <c r="O133" s="28">
        <f>IF(Data!O133&lt;=QUARTILE(Data!O$4:O$195,1),1,IF(Data!O133&lt;=MEDIAN(Data!O$4:O$195),2,IF(Data!O133&lt;=QUARTILE(Data!O$4:O$195,3),3,4)))</f>
        <v>1</v>
      </c>
      <c r="P133" s="28">
        <f>IF(Data!P133&lt;=QUARTILE(Data!P$4:P$195,1),1,IF(Data!P133&lt;=MEDIAN(Data!P$4:P$195),2,IF(Data!P133&lt;=QUARTILE(Data!P$4:P$195,3),3,4)))</f>
        <v>2</v>
      </c>
      <c r="Q133" s="28">
        <f>IF(Data!Q133&lt;=QUARTILE(Data!Q$4:Q$195,1),1,IF(Data!Q133&lt;=MEDIAN(Data!Q$4:Q$195),2,IF(Data!Q133&lt;=QUARTILE(Data!Q$4:Q$195,3),3,4)))</f>
        <v>1</v>
      </c>
      <c r="R133" s="28">
        <f>IF(Data!R133&lt;=QUARTILE(Data!R$4:R$195,1),1,IF(Data!R133&lt;=MEDIAN(Data!R$4:R$195),2,IF(Data!R133&lt;=QUARTILE(Data!R$4:R$195,3),3,4)))</f>
        <v>2</v>
      </c>
      <c r="S133" s="28">
        <f>IF(Data!S133&lt;=QUARTILE(Data!S$4:S$195,1),1,IF(Data!S133&lt;=MEDIAN(Data!S$4:S$195),2,IF(Data!S133&lt;=QUARTILE(Data!S$4:S$195,3),3,4)))</f>
        <v>3</v>
      </c>
      <c r="T133" s="22">
        <f>IF(Data!T133&lt;=QUARTILE(Data!T$4:T$195,1),1,IF(Data!T133&lt;=MEDIAN(Data!T$4:T$195),2,IF(Data!T133&lt;=QUARTILE(Data!T$4:T$195,3),3,4)))</f>
        <v>3</v>
      </c>
      <c r="U133" s="25">
        <f>IF(Data!U133&lt;=QUARTILE(Data!U$4:U$195,1),1,IF(Data!U133&lt;=MEDIAN(Data!U$4:U$195),2,IF(Data!U133&lt;=QUARTILE(Data!U$4:U$195,3),3,4)))</f>
        <v>4</v>
      </c>
      <c r="V133" s="28">
        <f>IF(Data!V133&lt;=QUARTILE(Data!V$4:V$195,1),1,IF(Data!V133&lt;=MEDIAN(Data!V$4:V$195),2,IF(Data!V133&lt;=QUARTILE(Data!V$4:V$195,3),3,4)))</f>
        <v>4</v>
      </c>
      <c r="W133" s="28">
        <f>IF(Data!W133&lt;=QUARTILE(Data!W$4:W$195,1),1,IF(Data!W133&lt;=MEDIAN(Data!W$4:W$195),2,IF(Data!W133&lt;=QUARTILE(Data!W$4:W$195,3),3,4)))</f>
        <v>3</v>
      </c>
      <c r="X133" s="22">
        <f>IF(Data!X133&lt;=QUARTILE(Data!X$4:X$195,1),1,IF(Data!X133&lt;=MEDIAN(Data!X$4:X$195),2,IF(Data!X133&lt;=QUARTILE(Data!X$4:X$195,3),3,4)))</f>
        <v>4</v>
      </c>
      <c r="Y133" s="30">
        <f>IF(Data!Y133&lt;=QUARTILE(Data!Y$4:Y$195,1),1,IF(Data!Y133&lt;=MEDIAN(Data!Y$4:Y$195),2,IF(Data!Y133&lt;=QUARTILE(Data!Y$4:Y$195,3),3,4)))</f>
        <v>1</v>
      </c>
      <c r="Z133" s="30">
        <f>IF(Data!Z133&lt;=QUARTILE(Data!Z$4:Z$195,1),1,IF(Data!Z133&lt;=MEDIAN(Data!Z$4:Z$195),2,IF(Data!Z133&lt;=QUARTILE(Data!Z$4:Z$195,3),3,4)))</f>
        <v>3</v>
      </c>
      <c r="AA133" s="25">
        <f>IF(Data!AA133&lt;=QUARTILE(Data!AA$4:AA$195,1),1,IF(Data!AA133&lt;=MEDIAN(Data!AA$4:AA$195),2,IF(Data!AA133&lt;=QUARTILE(Data!AA$4:AA$195,3),3,4)))</f>
        <v>2</v>
      </c>
      <c r="AB133" s="22">
        <f>IF(Data!AB133&lt;=QUARTILE(Data!AB$4:AB$195,1),1,IF(Data!AB133&lt;=MEDIAN(Data!AB$4:AB$195),2,IF(Data!AB133&lt;=QUARTILE(Data!AB$4:AB$195,3),3,4)))</f>
        <v>2</v>
      </c>
      <c r="AC133" s="25">
        <f>IF(Data!AC133&lt;=QUARTILE(Data!AC$4:AC$195,1),1,IF(Data!AC133&lt;=MEDIAN(Data!AC$4:AC$195),2,IF(Data!AC133&lt;=QUARTILE(Data!AC$4:AC$195,3),3,4)))</f>
        <v>3</v>
      </c>
      <c r="AD133" s="22">
        <f>IF(Data!AD133&lt;=QUARTILE(Data!AD$4:AD$195,1),1,IF(Data!AD133&lt;=MEDIAN(Data!AD$4:AD$195),2,IF(Data!AD133&lt;=QUARTILE(Data!AD$4:AD$195,3),3,4)))</f>
        <v>2</v>
      </c>
      <c r="AE133" s="28">
        <f>IF(Data!AE133&lt;=QUARTILE(Data!AE$4:AE$195,1),1,IF(Data!AE133&lt;=MEDIAN(Data!AE$4:AE$195),2,IF(Data!AE133&lt;=QUARTILE(Data!AE$4:AE$195,3),3,4)))</f>
        <v>4</v>
      </c>
      <c r="AF133" s="28">
        <f>IF(Data!AF133&lt;=QUARTILE(Data!AF$4:AF$195,1),1,IF(Data!AF133&lt;=MEDIAN(Data!AF$4:AF$195),2,IF(Data!AF133&lt;=QUARTILE(Data!AF$4:AF$195,3),3,4)))</f>
        <v>4</v>
      </c>
      <c r="AG133" s="28">
        <f>IF(Data!AG133&lt;=QUARTILE(Data!AG$4:AG$195,1),1,IF(Data!AG133&lt;=MEDIAN(Data!AG$4:AG$195),2,IF(Data!AG133&lt;=QUARTILE(Data!AG$4:AG$195,3),3,4)))</f>
        <v>1</v>
      </c>
      <c r="AH133" s="22">
        <f>IF(Data!AH133&lt;=QUARTILE(Data!AH$4:AH$195,1),1,IF(Data!AH133&lt;=MEDIAN(Data!AH$4:AH$195),2,IF(Data!AH133&lt;=QUARTILE(Data!AH$4:AH$195,3),3,4)))</f>
        <v>1</v>
      </c>
      <c r="AI133" s="25">
        <f>IF(Data!AI133&lt;=QUARTILE(Data!AI$4:AI$195,1),1,IF(Data!AI133&lt;=MEDIAN(Data!AI$4:AI$195),2,IF(Data!AI133&lt;=QUARTILE(Data!AI$4:AI$195,3),3,4)))</f>
        <v>3</v>
      </c>
      <c r="AJ133" s="22">
        <f>IF(Data!AJ133&lt;=QUARTILE(Data!AJ$4:AJ$195,1),1,IF(Data!AJ133&lt;=MEDIAN(Data!AJ$4:AJ$195),2,IF(Data!AJ133&lt;=QUARTILE(Data!AJ$4:AJ$195,3),3,4)))</f>
        <v>3</v>
      </c>
      <c r="AK133" s="25">
        <f>IF(Data!AK133&lt;=QUARTILE(Data!AK$4:AK$195,1),1,IF(Data!AK133&lt;=MEDIAN(Data!AK$4:AK$195),2,IF(Data!AK133&lt;=QUARTILE(Data!AK$4:AK$195,3),3,4)))</f>
        <v>3</v>
      </c>
      <c r="AL133" s="28">
        <f>IF(Data!AL133&lt;=QUARTILE(Data!AL$4:AL$195,1),1,IF(Data!AL133&lt;=MEDIAN(Data!AL$4:AL$195),2,IF(Data!AL133&lt;=QUARTILE(Data!AL$4:AL$195,3),3,4)))</f>
        <v>2</v>
      </c>
      <c r="AM133" s="28">
        <f>IF(Data!AM133&lt;=QUARTILE(Data!AM$4:AM$195,1),1,IF(Data!AM133&lt;=MEDIAN(Data!AM$4:AM$195),2,IF(Data!AM133&lt;=QUARTILE(Data!AM$4:AM$195,3),3,4)))</f>
        <v>3</v>
      </c>
      <c r="AN133" s="22">
        <f>IF(Data!AN133&lt;=QUARTILE(Data!AN$4:AN$195,1),1,IF(Data!AN133&lt;=MEDIAN(Data!AN$4:AN$195),2,IF(Data!AN133&lt;=QUARTILE(Data!AN$4:AN$195,3),3,4)))</f>
        <v>4</v>
      </c>
      <c r="AO133" s="28">
        <f>IF(Data!AO133&lt;=QUARTILE(Data!AO$4:AO$195,1),1,IF(Data!AO133&lt;=MEDIAN(Data!AO$4:AO$195),2,IF(Data!AO133&lt;=QUARTILE(Data!AO$4:AO$195,3),3,4)))</f>
        <v>3</v>
      </c>
      <c r="AP133" s="28">
        <f>IF(Data!AP133&lt;=QUARTILE(Data!AP$4:AP$195,1),1,IF(Data!AP133&lt;=MEDIAN(Data!AP$4:AP$195),2,IF(Data!AP133&lt;=QUARTILE(Data!AP$4:AP$195,3),3,4)))</f>
        <v>3</v>
      </c>
      <c r="AQ133" s="28">
        <f>IF(Data!AQ133&lt;=QUARTILE(Data!AQ$4:AQ$195,1),1,IF(Data!AQ133&lt;=MEDIAN(Data!AQ$4:AQ$195),2,IF(Data!AQ133&lt;=QUARTILE(Data!AQ$4:AQ$195,3),3,4)))</f>
        <v>2</v>
      </c>
      <c r="AR133" s="28">
        <f>IF(Data!AR133&lt;=QUARTILE(Data!AR$4:AR$195,1),1,IF(Data!AR133&lt;=MEDIAN(Data!AR$4:AR$195),2,IF(Data!AR133&lt;=QUARTILE(Data!AR$4:AR$195,3),3,4)))</f>
        <v>1</v>
      </c>
      <c r="AS133" s="28">
        <f>IF(Data!AS133&lt;=QUARTILE(Data!AS$4:AS$195,1),1,IF(Data!AS133&lt;=MEDIAN(Data!AS$4:AS$195),2,IF(Data!AS133&lt;=QUARTILE(Data!AS$4:AS$195,3),3,4)))</f>
        <v>2</v>
      </c>
      <c r="AT133" s="28">
        <f>IF(Data!AT133&lt;=QUARTILE(Data!AT$4:AT$195,1),1,IF(Data!AT133&lt;=MEDIAN(Data!AT$4:AT$195),2,IF(Data!AT133&lt;=QUARTILE(Data!AT$4:AT$195,3),3,4)))</f>
        <v>3</v>
      </c>
      <c r="AU133" s="22">
        <f>IF(Data!AU133&lt;=QUARTILE(Data!AU$4:AU$195,1),1,IF(Data!AU133&lt;=MEDIAN(Data!AU$4:AU$195),2,IF(Data!AU133&lt;=QUARTILE(Data!AU$4:AU$195,3),3,4)))</f>
        <v>3</v>
      </c>
      <c r="AV133" s="25">
        <f>IF(Data!AV133&lt;=QUARTILE(Data!AV$4:AV$195,1),1,IF(Data!AV133&lt;=MEDIAN(Data!AV$4:AV$195),2,IF(Data!AV133&lt;=QUARTILE(Data!AV$4:AV$195,3),3,4)))</f>
        <v>2</v>
      </c>
      <c r="AW133" s="28">
        <f>IF(Data!AW133&lt;=QUARTILE(Data!AW$4:AW$195,1),1,IF(Data!AW133&lt;=MEDIAN(Data!AW$4:AW$195),2,IF(Data!AW133&lt;=QUARTILE(Data!AW$4:AW$195,3),3,4)))</f>
        <v>4</v>
      </c>
      <c r="AX133" s="28">
        <f>IF(Data!AX133&lt;=QUARTILE(Data!AX$4:AX$195,1),1,IF(Data!AX133&lt;=MEDIAN(Data!AX$4:AX$195),2,IF(Data!AX133&lt;=QUARTILE(Data!AX$4:AX$195,3),3,4)))</f>
        <v>4</v>
      </c>
      <c r="AY133" s="22">
        <f>IF(Data!AY133&lt;=QUARTILE(Data!AY$4:AY$195,1),1,IF(Data!AY133&lt;=MEDIAN(Data!AY$4:AY$195),2,IF(Data!AY133&lt;=QUARTILE(Data!AY$4:AY$195,3),3,4)))</f>
        <v>4</v>
      </c>
      <c r="AZ133" s="25">
        <f>IF(Data!AZ133&lt;=QUARTILE(Data!AZ$4:AZ$195,1),1,IF(Data!AZ133&lt;=MEDIAN(Data!AZ$4:AZ$195),2,IF(Data!AZ133&lt;=QUARTILE(Data!AZ$4:AZ$195,3),3,4)))</f>
        <v>2</v>
      </c>
      <c r="BA133" s="22">
        <f>IF(Data!BA133&lt;=QUARTILE(Data!BA$4:BA$195,1),1,IF(Data!BA133&lt;=MEDIAN(Data!BA$4:BA$195),2,IF(Data!BA133&lt;=QUARTILE(Data!BA$4:BA$195,3),3,4)))</f>
        <v>3</v>
      </c>
    </row>
    <row r="134" spans="1:53" x14ac:dyDescent="0.25">
      <c r="A134" s="4" t="s">
        <v>8</v>
      </c>
      <c r="B134" s="40">
        <v>2005</v>
      </c>
      <c r="C134" s="25">
        <v>6</v>
      </c>
      <c r="D134" s="28">
        <v>10</v>
      </c>
      <c r="E134" s="77" t="s">
        <v>96</v>
      </c>
      <c r="F134" s="28">
        <v>-1.8</v>
      </c>
      <c r="G134" s="28">
        <v>-3.5</v>
      </c>
      <c r="H134" s="22">
        <v>1.7</v>
      </c>
      <c r="I134" s="25">
        <f>IF(Data!I134&lt;=QUARTILE(Data!I$4:I$195,1),1,IF(Data!I134&lt;=MEDIAN(Data!I$4:I$195),2,IF(Data!I134&lt;=QUARTILE(Data!I$4:I$195,3),3,4)))</f>
        <v>1</v>
      </c>
      <c r="J134" s="28">
        <f>IF(Data!J134&lt;=QUARTILE(Data!J$4:J$195,1),1,IF(Data!J134&lt;=MEDIAN(Data!J$4:J$195),2,IF(Data!J134&lt;=QUARTILE(Data!J$4:J$195,3),3,4)))</f>
        <v>1</v>
      </c>
      <c r="K134" s="28">
        <f>IF(Data!K134&lt;=QUARTILE(Data!K$4:K$195,1),1,IF(Data!K134&lt;=MEDIAN(Data!K$4:K$195),2,IF(Data!K134&lt;=QUARTILE(Data!K$4:K$195,3),3,4)))</f>
        <v>4</v>
      </c>
      <c r="L134" s="22">
        <f>IF(Data!L134&lt;=QUARTILE(Data!L$4:L$195,1),1,IF(Data!L134&lt;=MEDIAN(Data!L$4:L$195),2,IF(Data!L134&lt;=QUARTILE(Data!L$4:L$195,3),3,4)))</f>
        <v>2</v>
      </c>
      <c r="M134" s="28">
        <f>IF(Data!M134&lt;=QUARTILE(Data!M$4:M$195,1),1,IF(Data!M134&lt;=MEDIAN(Data!M$4:M$195),2,IF(Data!M134&lt;=QUARTILE(Data!M$4:M$195,3),3,4)))</f>
        <v>3</v>
      </c>
      <c r="N134" s="28">
        <f>IF(Data!N134&lt;=QUARTILE(Data!N$4:N$195,1),1,IF(Data!N134&lt;=MEDIAN(Data!N$4:N$195),2,IF(Data!N134&lt;=QUARTILE(Data!N$4:N$195,3),3,4)))</f>
        <v>4</v>
      </c>
      <c r="O134" s="28">
        <f>IF(Data!O134&lt;=QUARTILE(Data!O$4:O$195,1),1,IF(Data!O134&lt;=MEDIAN(Data!O$4:O$195),2,IF(Data!O134&lt;=QUARTILE(Data!O$4:O$195,3),3,4)))</f>
        <v>2</v>
      </c>
      <c r="P134" s="28">
        <f>IF(Data!P134&lt;=QUARTILE(Data!P$4:P$195,1),1,IF(Data!P134&lt;=MEDIAN(Data!P$4:P$195),2,IF(Data!P134&lt;=QUARTILE(Data!P$4:P$195,3),3,4)))</f>
        <v>2</v>
      </c>
      <c r="Q134" s="28">
        <f>IF(Data!Q134&lt;=QUARTILE(Data!Q$4:Q$195,1),1,IF(Data!Q134&lt;=MEDIAN(Data!Q$4:Q$195),2,IF(Data!Q134&lt;=QUARTILE(Data!Q$4:Q$195,3),3,4)))</f>
        <v>2</v>
      </c>
      <c r="R134" s="28">
        <f>IF(Data!R134&lt;=QUARTILE(Data!R$4:R$195,1),1,IF(Data!R134&lt;=MEDIAN(Data!R$4:R$195),2,IF(Data!R134&lt;=QUARTILE(Data!R$4:R$195,3),3,4)))</f>
        <v>1</v>
      </c>
      <c r="S134" s="28">
        <f>IF(Data!S134&lt;=QUARTILE(Data!S$4:S$195,1),1,IF(Data!S134&lt;=MEDIAN(Data!S$4:S$195),2,IF(Data!S134&lt;=QUARTILE(Data!S$4:S$195,3),3,4)))</f>
        <v>3</v>
      </c>
      <c r="T134" s="22">
        <f>IF(Data!T134&lt;=QUARTILE(Data!T$4:T$195,1),1,IF(Data!T134&lt;=MEDIAN(Data!T$4:T$195),2,IF(Data!T134&lt;=QUARTILE(Data!T$4:T$195,3),3,4)))</f>
        <v>4</v>
      </c>
      <c r="U134" s="25">
        <f>IF(Data!U134&lt;=QUARTILE(Data!U$4:U$195,1),1,IF(Data!U134&lt;=MEDIAN(Data!U$4:U$195),2,IF(Data!U134&lt;=QUARTILE(Data!U$4:U$195,3),3,4)))</f>
        <v>3</v>
      </c>
      <c r="V134" s="28">
        <f>IF(Data!V134&lt;=QUARTILE(Data!V$4:V$195,1),1,IF(Data!V134&lt;=MEDIAN(Data!V$4:V$195),2,IF(Data!V134&lt;=QUARTILE(Data!V$4:V$195,3),3,4)))</f>
        <v>2</v>
      </c>
      <c r="W134" s="28">
        <f>IF(Data!W134&lt;=QUARTILE(Data!W$4:W$195,1),1,IF(Data!W134&lt;=MEDIAN(Data!W$4:W$195),2,IF(Data!W134&lt;=QUARTILE(Data!W$4:W$195,3),3,4)))</f>
        <v>1</v>
      </c>
      <c r="X134" s="22">
        <f>IF(Data!X134&lt;=QUARTILE(Data!X$4:X$195,1),1,IF(Data!X134&lt;=MEDIAN(Data!X$4:X$195),2,IF(Data!X134&lt;=QUARTILE(Data!X$4:X$195,3),3,4)))</f>
        <v>2</v>
      </c>
      <c r="Y134" s="30">
        <f>IF(Data!Y134&lt;=QUARTILE(Data!Y$4:Y$195,1),1,IF(Data!Y134&lt;=MEDIAN(Data!Y$4:Y$195),2,IF(Data!Y134&lt;=QUARTILE(Data!Y$4:Y$195,3),3,4)))</f>
        <v>4</v>
      </c>
      <c r="Z134" s="30">
        <f>IF(Data!Z134&lt;=QUARTILE(Data!Z$4:Z$195,1),1,IF(Data!Z134&lt;=MEDIAN(Data!Z$4:Z$195),2,IF(Data!Z134&lt;=QUARTILE(Data!Z$4:Z$195,3),3,4)))</f>
        <v>3</v>
      </c>
      <c r="AA134" s="25">
        <f>IF(Data!AA134&lt;=QUARTILE(Data!AA$4:AA$195,1),1,IF(Data!AA134&lt;=MEDIAN(Data!AA$4:AA$195),2,IF(Data!AA134&lt;=QUARTILE(Data!AA$4:AA$195,3),3,4)))</f>
        <v>3</v>
      </c>
      <c r="AB134" s="22">
        <f>IF(Data!AB134&lt;=QUARTILE(Data!AB$4:AB$195,1),1,IF(Data!AB134&lt;=MEDIAN(Data!AB$4:AB$195),2,IF(Data!AB134&lt;=QUARTILE(Data!AB$4:AB$195,3),3,4)))</f>
        <v>4</v>
      </c>
      <c r="AC134" s="25">
        <f>IF(Data!AC134&lt;=QUARTILE(Data!AC$4:AC$195,1),1,IF(Data!AC134&lt;=MEDIAN(Data!AC$4:AC$195),2,IF(Data!AC134&lt;=QUARTILE(Data!AC$4:AC$195,3),3,4)))</f>
        <v>2</v>
      </c>
      <c r="AD134" s="22">
        <f>IF(Data!AD134&lt;=QUARTILE(Data!AD$4:AD$195,1),1,IF(Data!AD134&lt;=MEDIAN(Data!AD$4:AD$195),2,IF(Data!AD134&lt;=QUARTILE(Data!AD$4:AD$195,3),3,4)))</f>
        <v>1</v>
      </c>
      <c r="AE134" s="28">
        <f>IF(Data!AE134&lt;=QUARTILE(Data!AE$4:AE$195,1),1,IF(Data!AE134&lt;=MEDIAN(Data!AE$4:AE$195),2,IF(Data!AE134&lt;=QUARTILE(Data!AE$4:AE$195,3),3,4)))</f>
        <v>3</v>
      </c>
      <c r="AF134" s="28">
        <f>IF(Data!AF134&lt;=QUARTILE(Data!AF$4:AF$195,1),1,IF(Data!AF134&lt;=MEDIAN(Data!AF$4:AF$195),2,IF(Data!AF134&lt;=QUARTILE(Data!AF$4:AF$195,3),3,4)))</f>
        <v>3</v>
      </c>
      <c r="AG134" s="28">
        <f>IF(Data!AG134&lt;=QUARTILE(Data!AG$4:AG$195,1),1,IF(Data!AG134&lt;=MEDIAN(Data!AG$4:AG$195),2,IF(Data!AG134&lt;=QUARTILE(Data!AG$4:AG$195,3),3,4)))</f>
        <v>4</v>
      </c>
      <c r="AH134" s="22">
        <f>IF(Data!AH134&lt;=QUARTILE(Data!AH$4:AH$195,1),1,IF(Data!AH134&lt;=MEDIAN(Data!AH$4:AH$195),2,IF(Data!AH134&lt;=QUARTILE(Data!AH$4:AH$195,3),3,4)))</f>
        <v>4</v>
      </c>
      <c r="AI134" s="25">
        <f>IF(Data!AI134&lt;=QUARTILE(Data!AI$4:AI$195,1),1,IF(Data!AI134&lt;=MEDIAN(Data!AI$4:AI$195),2,IF(Data!AI134&lt;=QUARTILE(Data!AI$4:AI$195,3),3,4)))</f>
        <v>4</v>
      </c>
      <c r="AJ134" s="22">
        <f>IF(Data!AJ134&lt;=QUARTILE(Data!AJ$4:AJ$195,1),1,IF(Data!AJ134&lt;=MEDIAN(Data!AJ$4:AJ$195),2,IF(Data!AJ134&lt;=QUARTILE(Data!AJ$4:AJ$195,3),3,4)))</f>
        <v>4</v>
      </c>
      <c r="AK134" s="25">
        <f>IF(Data!AK134&lt;=QUARTILE(Data!AK$4:AK$195,1),1,IF(Data!AK134&lt;=MEDIAN(Data!AK$4:AK$195),2,IF(Data!AK134&lt;=QUARTILE(Data!AK$4:AK$195,3),3,4)))</f>
        <v>1</v>
      </c>
      <c r="AL134" s="28">
        <f>IF(Data!AL134&lt;=QUARTILE(Data!AL$4:AL$195,1),1,IF(Data!AL134&lt;=MEDIAN(Data!AL$4:AL$195),2,IF(Data!AL134&lt;=QUARTILE(Data!AL$4:AL$195,3),3,4)))</f>
        <v>1</v>
      </c>
      <c r="AM134" s="28">
        <f>IF(Data!AM134&lt;=QUARTILE(Data!AM$4:AM$195,1),1,IF(Data!AM134&lt;=MEDIAN(Data!AM$4:AM$195),2,IF(Data!AM134&lt;=QUARTILE(Data!AM$4:AM$195,3),3,4)))</f>
        <v>2</v>
      </c>
      <c r="AN134" s="22">
        <f>IF(Data!AN134&lt;=QUARTILE(Data!AN$4:AN$195,1),1,IF(Data!AN134&lt;=MEDIAN(Data!AN$4:AN$195),2,IF(Data!AN134&lt;=QUARTILE(Data!AN$4:AN$195,3),3,4)))</f>
        <v>1</v>
      </c>
      <c r="AO134" s="28">
        <f>IF(Data!AO134&lt;=QUARTILE(Data!AO$4:AO$195,1),1,IF(Data!AO134&lt;=MEDIAN(Data!AO$4:AO$195),2,IF(Data!AO134&lt;=QUARTILE(Data!AO$4:AO$195,3),3,4)))</f>
        <v>2</v>
      </c>
      <c r="AP134" s="28">
        <f>IF(Data!AP134&lt;=QUARTILE(Data!AP$4:AP$195,1),1,IF(Data!AP134&lt;=MEDIAN(Data!AP$4:AP$195),2,IF(Data!AP134&lt;=QUARTILE(Data!AP$4:AP$195,3),3,4)))</f>
        <v>3</v>
      </c>
      <c r="AQ134" s="28">
        <f>IF(Data!AQ134&lt;=QUARTILE(Data!AQ$4:AQ$195,1),1,IF(Data!AQ134&lt;=MEDIAN(Data!AQ$4:AQ$195),2,IF(Data!AQ134&lt;=QUARTILE(Data!AQ$4:AQ$195,3),3,4)))</f>
        <v>1</v>
      </c>
      <c r="AR134" s="28">
        <f>IF(Data!AR134&lt;=QUARTILE(Data!AR$4:AR$195,1),1,IF(Data!AR134&lt;=MEDIAN(Data!AR$4:AR$195),2,IF(Data!AR134&lt;=QUARTILE(Data!AR$4:AR$195,3),3,4)))</f>
        <v>1</v>
      </c>
      <c r="AS134" s="28">
        <f>IF(Data!AS134&lt;=QUARTILE(Data!AS$4:AS$195,1),1,IF(Data!AS134&lt;=MEDIAN(Data!AS$4:AS$195),2,IF(Data!AS134&lt;=QUARTILE(Data!AS$4:AS$195,3),3,4)))</f>
        <v>1</v>
      </c>
      <c r="AT134" s="28">
        <f>IF(Data!AT134&lt;=QUARTILE(Data!AT$4:AT$195,1),1,IF(Data!AT134&lt;=MEDIAN(Data!AT$4:AT$195),2,IF(Data!AT134&lt;=QUARTILE(Data!AT$4:AT$195,3),3,4)))</f>
        <v>4</v>
      </c>
      <c r="AU134" s="22">
        <f>IF(Data!AU134&lt;=QUARTILE(Data!AU$4:AU$195,1),1,IF(Data!AU134&lt;=MEDIAN(Data!AU$4:AU$195),2,IF(Data!AU134&lt;=QUARTILE(Data!AU$4:AU$195,3),3,4)))</f>
        <v>4</v>
      </c>
      <c r="AV134" s="25">
        <f>IF(Data!AV134&lt;=QUARTILE(Data!AV$4:AV$195,1),1,IF(Data!AV134&lt;=MEDIAN(Data!AV$4:AV$195),2,IF(Data!AV134&lt;=QUARTILE(Data!AV$4:AV$195,3),3,4)))</f>
        <v>2</v>
      </c>
      <c r="AW134" s="28">
        <f>IF(Data!AW134&lt;=QUARTILE(Data!AW$4:AW$195,1),1,IF(Data!AW134&lt;=MEDIAN(Data!AW$4:AW$195),2,IF(Data!AW134&lt;=QUARTILE(Data!AW$4:AW$195,3),3,4)))</f>
        <v>1</v>
      </c>
      <c r="AX134" s="28">
        <f>IF(Data!AX134&lt;=QUARTILE(Data!AX$4:AX$195,1),1,IF(Data!AX134&lt;=MEDIAN(Data!AX$4:AX$195),2,IF(Data!AX134&lt;=QUARTILE(Data!AX$4:AX$195,3),3,4)))</f>
        <v>1</v>
      </c>
      <c r="AY134" s="22">
        <f>IF(Data!AY134&lt;=QUARTILE(Data!AY$4:AY$195,1),1,IF(Data!AY134&lt;=MEDIAN(Data!AY$4:AY$195),2,IF(Data!AY134&lt;=QUARTILE(Data!AY$4:AY$195,3),3,4)))</f>
        <v>1</v>
      </c>
      <c r="AZ134" s="25">
        <f>IF(Data!AZ134&lt;=QUARTILE(Data!AZ$4:AZ$195,1),1,IF(Data!AZ134&lt;=MEDIAN(Data!AZ$4:AZ$195),2,IF(Data!AZ134&lt;=QUARTILE(Data!AZ$4:AZ$195,3),3,4)))</f>
        <v>1</v>
      </c>
      <c r="BA134" s="22">
        <f>IF(Data!BA134&lt;=QUARTILE(Data!BA$4:BA$195,1),1,IF(Data!BA134&lt;=MEDIAN(Data!BA$4:BA$195),2,IF(Data!BA134&lt;=QUARTILE(Data!BA$4:BA$195,3),3,4)))</f>
        <v>4</v>
      </c>
    </row>
    <row r="135" spans="1:53" x14ac:dyDescent="0.25">
      <c r="A135" s="4" t="s">
        <v>6</v>
      </c>
      <c r="B135" s="40">
        <v>2005</v>
      </c>
      <c r="C135" s="25">
        <v>5</v>
      </c>
      <c r="D135" s="28">
        <v>11</v>
      </c>
      <c r="E135" s="77" t="s">
        <v>96</v>
      </c>
      <c r="F135" s="28">
        <v>-5.8</v>
      </c>
      <c r="G135" s="28">
        <v>-4</v>
      </c>
      <c r="H135" s="22">
        <v>-1.8</v>
      </c>
      <c r="I135" s="25">
        <f>IF(Data!I135&lt;=QUARTILE(Data!I$4:I$195,1),1,IF(Data!I135&lt;=MEDIAN(Data!I$4:I$195),2,IF(Data!I135&lt;=QUARTILE(Data!I$4:I$195,3),3,4)))</f>
        <v>1</v>
      </c>
      <c r="J135" s="28">
        <f>IF(Data!J135&lt;=QUARTILE(Data!J$4:J$195,1),1,IF(Data!J135&lt;=MEDIAN(Data!J$4:J$195),2,IF(Data!J135&lt;=QUARTILE(Data!J$4:J$195,3),3,4)))</f>
        <v>1</v>
      </c>
      <c r="K135" s="28">
        <f>IF(Data!K135&lt;=QUARTILE(Data!K$4:K$195,1),1,IF(Data!K135&lt;=MEDIAN(Data!K$4:K$195),2,IF(Data!K135&lt;=QUARTILE(Data!K$4:K$195,3),3,4)))</f>
        <v>1</v>
      </c>
      <c r="L135" s="22">
        <f>IF(Data!L135&lt;=QUARTILE(Data!L$4:L$195,1),1,IF(Data!L135&lt;=MEDIAN(Data!L$4:L$195),2,IF(Data!L135&lt;=QUARTILE(Data!L$4:L$195,3),3,4)))</f>
        <v>1</v>
      </c>
      <c r="M135" s="28">
        <f>IF(Data!M135&lt;=QUARTILE(Data!M$4:M$195,1),1,IF(Data!M135&lt;=MEDIAN(Data!M$4:M$195),2,IF(Data!M135&lt;=QUARTILE(Data!M$4:M$195,3),3,4)))</f>
        <v>1</v>
      </c>
      <c r="N135" s="28">
        <f>IF(Data!N135&lt;=QUARTILE(Data!N$4:N$195,1),1,IF(Data!N135&lt;=MEDIAN(Data!N$4:N$195),2,IF(Data!N135&lt;=QUARTILE(Data!N$4:N$195,3),3,4)))</f>
        <v>1</v>
      </c>
      <c r="O135" s="28">
        <f>IF(Data!O135&lt;=QUARTILE(Data!O$4:O$195,1),1,IF(Data!O135&lt;=MEDIAN(Data!O$4:O$195),2,IF(Data!O135&lt;=QUARTILE(Data!O$4:O$195,3),3,4)))</f>
        <v>1</v>
      </c>
      <c r="P135" s="28">
        <f>IF(Data!P135&lt;=QUARTILE(Data!P$4:P$195,1),1,IF(Data!P135&lt;=MEDIAN(Data!P$4:P$195),2,IF(Data!P135&lt;=QUARTILE(Data!P$4:P$195,3),3,4)))</f>
        <v>2</v>
      </c>
      <c r="Q135" s="28">
        <f>IF(Data!Q135&lt;=QUARTILE(Data!Q$4:Q$195,1),1,IF(Data!Q135&lt;=MEDIAN(Data!Q$4:Q$195),2,IF(Data!Q135&lt;=QUARTILE(Data!Q$4:Q$195,3),3,4)))</f>
        <v>1</v>
      </c>
      <c r="R135" s="28">
        <f>IF(Data!R135&lt;=QUARTILE(Data!R$4:R$195,1),1,IF(Data!R135&lt;=MEDIAN(Data!R$4:R$195),2,IF(Data!R135&lt;=QUARTILE(Data!R$4:R$195,3),3,4)))</f>
        <v>2</v>
      </c>
      <c r="S135" s="28">
        <f>IF(Data!S135&lt;=QUARTILE(Data!S$4:S$195,1),1,IF(Data!S135&lt;=MEDIAN(Data!S$4:S$195),2,IF(Data!S135&lt;=QUARTILE(Data!S$4:S$195,3),3,4)))</f>
        <v>3</v>
      </c>
      <c r="T135" s="22">
        <f>IF(Data!T135&lt;=QUARTILE(Data!T$4:T$195,1),1,IF(Data!T135&lt;=MEDIAN(Data!T$4:T$195),2,IF(Data!T135&lt;=QUARTILE(Data!T$4:T$195,3),3,4)))</f>
        <v>4</v>
      </c>
      <c r="U135" s="25">
        <f>IF(Data!U135&lt;=QUARTILE(Data!U$4:U$195,1),1,IF(Data!U135&lt;=MEDIAN(Data!U$4:U$195),2,IF(Data!U135&lt;=QUARTILE(Data!U$4:U$195,3),3,4)))</f>
        <v>2</v>
      </c>
      <c r="V135" s="28">
        <f>IF(Data!V135&lt;=QUARTILE(Data!V$4:V$195,1),1,IF(Data!V135&lt;=MEDIAN(Data!V$4:V$195),2,IF(Data!V135&lt;=QUARTILE(Data!V$4:V$195,3),3,4)))</f>
        <v>2</v>
      </c>
      <c r="W135" s="28">
        <f>IF(Data!W135&lt;=QUARTILE(Data!W$4:W$195,1),1,IF(Data!W135&lt;=MEDIAN(Data!W$4:W$195),2,IF(Data!W135&lt;=QUARTILE(Data!W$4:W$195,3),3,4)))</f>
        <v>1</v>
      </c>
      <c r="X135" s="22">
        <f>IF(Data!X135&lt;=QUARTILE(Data!X$4:X$195,1),1,IF(Data!X135&lt;=MEDIAN(Data!X$4:X$195),2,IF(Data!X135&lt;=QUARTILE(Data!X$4:X$195,3),3,4)))</f>
        <v>2</v>
      </c>
      <c r="Y135" s="30">
        <f>IF(Data!Y135&lt;=QUARTILE(Data!Y$4:Y$195,1),1,IF(Data!Y135&lt;=MEDIAN(Data!Y$4:Y$195),2,IF(Data!Y135&lt;=QUARTILE(Data!Y$4:Y$195,3),3,4)))</f>
        <v>2</v>
      </c>
      <c r="Z135" s="30">
        <f>IF(Data!Z135&lt;=QUARTILE(Data!Z$4:Z$195,1),1,IF(Data!Z135&lt;=MEDIAN(Data!Z$4:Z$195),2,IF(Data!Z135&lt;=QUARTILE(Data!Z$4:Z$195,3),3,4)))</f>
        <v>1</v>
      </c>
      <c r="AA135" s="25">
        <f>IF(Data!AA135&lt;=QUARTILE(Data!AA$4:AA$195,1),1,IF(Data!AA135&lt;=MEDIAN(Data!AA$4:AA$195),2,IF(Data!AA135&lt;=QUARTILE(Data!AA$4:AA$195,3),3,4)))</f>
        <v>1</v>
      </c>
      <c r="AB135" s="22">
        <f>IF(Data!AB135&lt;=QUARTILE(Data!AB$4:AB$195,1),1,IF(Data!AB135&lt;=MEDIAN(Data!AB$4:AB$195),2,IF(Data!AB135&lt;=QUARTILE(Data!AB$4:AB$195,3),3,4)))</f>
        <v>2</v>
      </c>
      <c r="AC135" s="25">
        <f>IF(Data!AC135&lt;=QUARTILE(Data!AC$4:AC$195,1),1,IF(Data!AC135&lt;=MEDIAN(Data!AC$4:AC$195),2,IF(Data!AC135&lt;=QUARTILE(Data!AC$4:AC$195,3),3,4)))</f>
        <v>4</v>
      </c>
      <c r="AD135" s="22">
        <f>IF(Data!AD135&lt;=QUARTILE(Data!AD$4:AD$195,1),1,IF(Data!AD135&lt;=MEDIAN(Data!AD$4:AD$195),2,IF(Data!AD135&lt;=QUARTILE(Data!AD$4:AD$195,3),3,4)))</f>
        <v>4</v>
      </c>
      <c r="AE135" s="28">
        <f>IF(Data!AE135&lt;=QUARTILE(Data!AE$4:AE$195,1),1,IF(Data!AE135&lt;=MEDIAN(Data!AE$4:AE$195),2,IF(Data!AE135&lt;=QUARTILE(Data!AE$4:AE$195,3),3,4)))</f>
        <v>4</v>
      </c>
      <c r="AF135" s="28">
        <f>IF(Data!AF135&lt;=QUARTILE(Data!AF$4:AF$195,1),1,IF(Data!AF135&lt;=MEDIAN(Data!AF$4:AF$195),2,IF(Data!AF135&lt;=QUARTILE(Data!AF$4:AF$195,3),3,4)))</f>
        <v>3</v>
      </c>
      <c r="AG135" s="28">
        <f>IF(Data!AG135&lt;=QUARTILE(Data!AG$4:AG$195,1),1,IF(Data!AG135&lt;=MEDIAN(Data!AG$4:AG$195),2,IF(Data!AG135&lt;=QUARTILE(Data!AG$4:AG$195,3),3,4)))</f>
        <v>3</v>
      </c>
      <c r="AH135" s="22">
        <f>IF(Data!AH135&lt;=QUARTILE(Data!AH$4:AH$195,1),1,IF(Data!AH135&lt;=MEDIAN(Data!AH$4:AH$195),2,IF(Data!AH135&lt;=QUARTILE(Data!AH$4:AH$195,3),3,4)))</f>
        <v>3</v>
      </c>
      <c r="AI135" s="25">
        <f>IF(Data!AI135&lt;=QUARTILE(Data!AI$4:AI$195,1),1,IF(Data!AI135&lt;=MEDIAN(Data!AI$4:AI$195),2,IF(Data!AI135&lt;=QUARTILE(Data!AI$4:AI$195,3),3,4)))</f>
        <v>2</v>
      </c>
      <c r="AJ135" s="22">
        <f>IF(Data!AJ135&lt;=QUARTILE(Data!AJ$4:AJ$195,1),1,IF(Data!AJ135&lt;=MEDIAN(Data!AJ$4:AJ$195),2,IF(Data!AJ135&lt;=QUARTILE(Data!AJ$4:AJ$195,3),3,4)))</f>
        <v>3</v>
      </c>
      <c r="AK135" s="25">
        <f>IF(Data!AK135&lt;=QUARTILE(Data!AK$4:AK$195,1),1,IF(Data!AK135&lt;=MEDIAN(Data!AK$4:AK$195),2,IF(Data!AK135&lt;=QUARTILE(Data!AK$4:AK$195,3),3,4)))</f>
        <v>3</v>
      </c>
      <c r="AL135" s="28">
        <f>IF(Data!AL135&lt;=QUARTILE(Data!AL$4:AL$195,1),1,IF(Data!AL135&lt;=MEDIAN(Data!AL$4:AL$195),2,IF(Data!AL135&lt;=QUARTILE(Data!AL$4:AL$195,3),3,4)))</f>
        <v>3</v>
      </c>
      <c r="AM135" s="28">
        <f>IF(Data!AM135&lt;=QUARTILE(Data!AM$4:AM$195,1),1,IF(Data!AM135&lt;=MEDIAN(Data!AM$4:AM$195),2,IF(Data!AM135&lt;=QUARTILE(Data!AM$4:AM$195,3),3,4)))</f>
        <v>4</v>
      </c>
      <c r="AN135" s="22">
        <f>IF(Data!AN135&lt;=QUARTILE(Data!AN$4:AN$195,1),1,IF(Data!AN135&lt;=MEDIAN(Data!AN$4:AN$195),2,IF(Data!AN135&lt;=QUARTILE(Data!AN$4:AN$195,3),3,4)))</f>
        <v>4</v>
      </c>
      <c r="AO135" s="28">
        <f>IF(Data!AO135&lt;=QUARTILE(Data!AO$4:AO$195,1),1,IF(Data!AO135&lt;=MEDIAN(Data!AO$4:AO$195),2,IF(Data!AO135&lt;=QUARTILE(Data!AO$4:AO$195,3),3,4)))</f>
        <v>2</v>
      </c>
      <c r="AP135" s="28">
        <f>IF(Data!AP135&lt;=QUARTILE(Data!AP$4:AP$195,1),1,IF(Data!AP135&lt;=MEDIAN(Data!AP$4:AP$195),2,IF(Data!AP135&lt;=QUARTILE(Data!AP$4:AP$195,3),3,4)))</f>
        <v>2</v>
      </c>
      <c r="AQ135" s="28">
        <f>IF(Data!AQ135&lt;=QUARTILE(Data!AQ$4:AQ$195,1),1,IF(Data!AQ135&lt;=MEDIAN(Data!AQ$4:AQ$195),2,IF(Data!AQ135&lt;=QUARTILE(Data!AQ$4:AQ$195,3),3,4)))</f>
        <v>2</v>
      </c>
      <c r="AR135" s="28">
        <f>IF(Data!AR135&lt;=QUARTILE(Data!AR$4:AR$195,1),1,IF(Data!AR135&lt;=MEDIAN(Data!AR$4:AR$195),2,IF(Data!AR135&lt;=QUARTILE(Data!AR$4:AR$195,3),3,4)))</f>
        <v>2</v>
      </c>
      <c r="AS135" s="28">
        <f>IF(Data!AS135&lt;=QUARTILE(Data!AS$4:AS$195,1),1,IF(Data!AS135&lt;=MEDIAN(Data!AS$4:AS$195),2,IF(Data!AS135&lt;=QUARTILE(Data!AS$4:AS$195,3),3,4)))</f>
        <v>2</v>
      </c>
      <c r="AT135" s="28">
        <f>IF(Data!AT135&lt;=QUARTILE(Data!AT$4:AT$195,1),1,IF(Data!AT135&lt;=MEDIAN(Data!AT$4:AT$195),2,IF(Data!AT135&lt;=QUARTILE(Data!AT$4:AT$195,3),3,4)))</f>
        <v>3</v>
      </c>
      <c r="AU135" s="22">
        <f>IF(Data!AU135&lt;=QUARTILE(Data!AU$4:AU$195,1),1,IF(Data!AU135&lt;=MEDIAN(Data!AU$4:AU$195),2,IF(Data!AU135&lt;=QUARTILE(Data!AU$4:AU$195,3),3,4)))</f>
        <v>4</v>
      </c>
      <c r="AV135" s="25">
        <f>IF(Data!AV135&lt;=QUARTILE(Data!AV$4:AV$195,1),1,IF(Data!AV135&lt;=MEDIAN(Data!AV$4:AV$195),2,IF(Data!AV135&lt;=QUARTILE(Data!AV$4:AV$195,3),3,4)))</f>
        <v>4</v>
      </c>
      <c r="AW135" s="28">
        <f>IF(Data!AW135&lt;=QUARTILE(Data!AW$4:AW$195,1),1,IF(Data!AW135&lt;=MEDIAN(Data!AW$4:AW$195),2,IF(Data!AW135&lt;=QUARTILE(Data!AW$4:AW$195,3),3,4)))</f>
        <v>4</v>
      </c>
      <c r="AX135" s="28">
        <f>IF(Data!AX135&lt;=QUARTILE(Data!AX$4:AX$195,1),1,IF(Data!AX135&lt;=MEDIAN(Data!AX$4:AX$195),2,IF(Data!AX135&lt;=QUARTILE(Data!AX$4:AX$195,3),3,4)))</f>
        <v>4</v>
      </c>
      <c r="AY135" s="22">
        <f>IF(Data!AY135&lt;=QUARTILE(Data!AY$4:AY$195,1),1,IF(Data!AY135&lt;=MEDIAN(Data!AY$4:AY$195),2,IF(Data!AY135&lt;=QUARTILE(Data!AY$4:AY$195,3),3,4)))</f>
        <v>4</v>
      </c>
      <c r="AZ135" s="25">
        <f>IF(Data!AZ135&lt;=QUARTILE(Data!AZ$4:AZ$195,1),1,IF(Data!AZ135&lt;=MEDIAN(Data!AZ$4:AZ$195),2,IF(Data!AZ135&lt;=QUARTILE(Data!AZ$4:AZ$195,3),3,4)))</f>
        <v>3</v>
      </c>
      <c r="BA135" s="22">
        <f>IF(Data!BA135&lt;=QUARTILE(Data!BA$4:BA$195,1),1,IF(Data!BA135&lt;=MEDIAN(Data!BA$4:BA$195),2,IF(Data!BA135&lt;=QUARTILE(Data!BA$4:BA$195,3),3,4)))</f>
        <v>3</v>
      </c>
    </row>
    <row r="136" spans="1:53" x14ac:dyDescent="0.25">
      <c r="A136" s="4" t="s">
        <v>29</v>
      </c>
      <c r="B136" s="40">
        <v>2005</v>
      </c>
      <c r="C136" s="25">
        <v>11</v>
      </c>
      <c r="D136" s="28">
        <v>5</v>
      </c>
      <c r="E136" s="77" t="s">
        <v>97</v>
      </c>
      <c r="F136" s="28">
        <v>5.0999999999999996</v>
      </c>
      <c r="G136" s="28">
        <v>3</v>
      </c>
      <c r="H136" s="22">
        <v>2.1</v>
      </c>
      <c r="I136" s="25">
        <f>IF(Data!I136&lt;=QUARTILE(Data!I$4:I$195,1),1,IF(Data!I136&lt;=MEDIAN(Data!I$4:I$195),2,IF(Data!I136&lt;=QUARTILE(Data!I$4:I$195,3),3,4)))</f>
        <v>3</v>
      </c>
      <c r="J136" s="28">
        <f>IF(Data!J136&lt;=QUARTILE(Data!J$4:J$195,1),1,IF(Data!J136&lt;=MEDIAN(Data!J$4:J$195),2,IF(Data!J136&lt;=QUARTILE(Data!J$4:J$195,3),3,4)))</f>
        <v>2</v>
      </c>
      <c r="K136" s="28">
        <f>IF(Data!K136&lt;=QUARTILE(Data!K$4:K$195,1),1,IF(Data!K136&lt;=MEDIAN(Data!K$4:K$195),2,IF(Data!K136&lt;=QUARTILE(Data!K$4:K$195,3),3,4)))</f>
        <v>1</v>
      </c>
      <c r="L136" s="22">
        <f>IF(Data!L136&lt;=QUARTILE(Data!L$4:L$195,1),1,IF(Data!L136&lt;=MEDIAN(Data!L$4:L$195),2,IF(Data!L136&lt;=QUARTILE(Data!L$4:L$195,3),3,4)))</f>
        <v>2</v>
      </c>
      <c r="M136" s="28">
        <f>IF(Data!M136&lt;=QUARTILE(Data!M$4:M$195,1),1,IF(Data!M136&lt;=MEDIAN(Data!M$4:M$195),2,IF(Data!M136&lt;=QUARTILE(Data!M$4:M$195,3),3,4)))</f>
        <v>1</v>
      </c>
      <c r="N136" s="28">
        <f>IF(Data!N136&lt;=QUARTILE(Data!N$4:N$195,1),1,IF(Data!N136&lt;=MEDIAN(Data!N$4:N$195),2,IF(Data!N136&lt;=QUARTILE(Data!N$4:N$195,3),3,4)))</f>
        <v>1</v>
      </c>
      <c r="O136" s="28">
        <f>IF(Data!O136&lt;=QUARTILE(Data!O$4:O$195,1),1,IF(Data!O136&lt;=MEDIAN(Data!O$4:O$195),2,IF(Data!O136&lt;=QUARTILE(Data!O$4:O$195,3),3,4)))</f>
        <v>2</v>
      </c>
      <c r="P136" s="28">
        <f>IF(Data!P136&lt;=QUARTILE(Data!P$4:P$195,1),1,IF(Data!P136&lt;=MEDIAN(Data!P$4:P$195),2,IF(Data!P136&lt;=QUARTILE(Data!P$4:P$195,3),3,4)))</f>
        <v>3</v>
      </c>
      <c r="Q136" s="28">
        <f>IF(Data!Q136&lt;=QUARTILE(Data!Q$4:Q$195,1),1,IF(Data!Q136&lt;=MEDIAN(Data!Q$4:Q$195),2,IF(Data!Q136&lt;=QUARTILE(Data!Q$4:Q$195,3),3,4)))</f>
        <v>2</v>
      </c>
      <c r="R136" s="28">
        <f>IF(Data!R136&lt;=QUARTILE(Data!R$4:R$195,1),1,IF(Data!R136&lt;=MEDIAN(Data!R$4:R$195),2,IF(Data!R136&lt;=QUARTILE(Data!R$4:R$195,3),3,4)))</f>
        <v>3</v>
      </c>
      <c r="S136" s="28">
        <f>IF(Data!S136&lt;=QUARTILE(Data!S$4:S$195,1),1,IF(Data!S136&lt;=MEDIAN(Data!S$4:S$195),2,IF(Data!S136&lt;=QUARTILE(Data!S$4:S$195,3),3,4)))</f>
        <v>1</v>
      </c>
      <c r="T136" s="22">
        <f>IF(Data!T136&lt;=QUARTILE(Data!T$4:T$195,1),1,IF(Data!T136&lt;=MEDIAN(Data!T$4:T$195),2,IF(Data!T136&lt;=QUARTILE(Data!T$4:T$195,3),3,4)))</f>
        <v>2</v>
      </c>
      <c r="U136" s="25">
        <f>IF(Data!U136&lt;=QUARTILE(Data!U$4:U$195,1),1,IF(Data!U136&lt;=MEDIAN(Data!U$4:U$195),2,IF(Data!U136&lt;=QUARTILE(Data!U$4:U$195,3),3,4)))</f>
        <v>4</v>
      </c>
      <c r="V136" s="28">
        <f>IF(Data!V136&lt;=QUARTILE(Data!V$4:V$195,1),1,IF(Data!V136&lt;=MEDIAN(Data!V$4:V$195),2,IF(Data!V136&lt;=QUARTILE(Data!V$4:V$195,3),3,4)))</f>
        <v>2</v>
      </c>
      <c r="W136" s="28">
        <f>IF(Data!W136&lt;=QUARTILE(Data!W$4:W$195,1),1,IF(Data!W136&lt;=MEDIAN(Data!W$4:W$195),2,IF(Data!W136&lt;=QUARTILE(Data!W$4:W$195,3),3,4)))</f>
        <v>3</v>
      </c>
      <c r="X136" s="22">
        <f>IF(Data!X136&lt;=QUARTILE(Data!X$4:X$195,1),1,IF(Data!X136&lt;=MEDIAN(Data!X$4:X$195),2,IF(Data!X136&lt;=QUARTILE(Data!X$4:X$195,3),3,4)))</f>
        <v>1</v>
      </c>
      <c r="Y136" s="30">
        <f>IF(Data!Y136&lt;=QUARTILE(Data!Y$4:Y$195,1),1,IF(Data!Y136&lt;=MEDIAN(Data!Y$4:Y$195),2,IF(Data!Y136&lt;=QUARTILE(Data!Y$4:Y$195,3),3,4)))</f>
        <v>2</v>
      </c>
      <c r="Z136" s="30">
        <f>IF(Data!Z136&lt;=QUARTILE(Data!Z$4:Z$195,1),1,IF(Data!Z136&lt;=MEDIAN(Data!Z$4:Z$195),2,IF(Data!Z136&lt;=QUARTILE(Data!Z$4:Z$195,3),3,4)))</f>
        <v>1</v>
      </c>
      <c r="AA136" s="25">
        <f>IF(Data!AA136&lt;=QUARTILE(Data!AA$4:AA$195,1),1,IF(Data!AA136&lt;=MEDIAN(Data!AA$4:AA$195),2,IF(Data!AA136&lt;=QUARTILE(Data!AA$4:AA$195,3),3,4)))</f>
        <v>3</v>
      </c>
      <c r="AB136" s="22">
        <f>IF(Data!AB136&lt;=QUARTILE(Data!AB$4:AB$195,1),1,IF(Data!AB136&lt;=MEDIAN(Data!AB$4:AB$195),2,IF(Data!AB136&lt;=QUARTILE(Data!AB$4:AB$195,3),3,4)))</f>
        <v>4</v>
      </c>
      <c r="AC136" s="25">
        <f>IF(Data!AC136&lt;=QUARTILE(Data!AC$4:AC$195,1),1,IF(Data!AC136&lt;=MEDIAN(Data!AC$4:AC$195),2,IF(Data!AC136&lt;=QUARTILE(Data!AC$4:AC$195,3),3,4)))</f>
        <v>1</v>
      </c>
      <c r="AD136" s="22">
        <f>IF(Data!AD136&lt;=QUARTILE(Data!AD$4:AD$195,1),1,IF(Data!AD136&lt;=MEDIAN(Data!AD$4:AD$195),2,IF(Data!AD136&lt;=QUARTILE(Data!AD$4:AD$195,3),3,4)))</f>
        <v>1</v>
      </c>
      <c r="AE136" s="28">
        <f>IF(Data!AE136&lt;=QUARTILE(Data!AE$4:AE$195,1),1,IF(Data!AE136&lt;=MEDIAN(Data!AE$4:AE$195),2,IF(Data!AE136&lt;=QUARTILE(Data!AE$4:AE$195,3),3,4)))</f>
        <v>2</v>
      </c>
      <c r="AF136" s="28">
        <f>IF(Data!AF136&lt;=QUARTILE(Data!AF$4:AF$195,1),1,IF(Data!AF136&lt;=MEDIAN(Data!AF$4:AF$195),2,IF(Data!AF136&lt;=QUARTILE(Data!AF$4:AF$195,3),3,4)))</f>
        <v>3</v>
      </c>
      <c r="AG136" s="28">
        <f>IF(Data!AG136&lt;=QUARTILE(Data!AG$4:AG$195,1),1,IF(Data!AG136&lt;=MEDIAN(Data!AG$4:AG$195),2,IF(Data!AG136&lt;=QUARTILE(Data!AG$4:AG$195,3),3,4)))</f>
        <v>4</v>
      </c>
      <c r="AH136" s="22">
        <f>IF(Data!AH136&lt;=QUARTILE(Data!AH$4:AH$195,1),1,IF(Data!AH136&lt;=MEDIAN(Data!AH$4:AH$195),2,IF(Data!AH136&lt;=QUARTILE(Data!AH$4:AH$195,3),3,4)))</f>
        <v>3</v>
      </c>
      <c r="AI136" s="25">
        <f>IF(Data!AI136&lt;=QUARTILE(Data!AI$4:AI$195,1),1,IF(Data!AI136&lt;=MEDIAN(Data!AI$4:AI$195),2,IF(Data!AI136&lt;=QUARTILE(Data!AI$4:AI$195,3),3,4)))</f>
        <v>2</v>
      </c>
      <c r="AJ136" s="22">
        <f>IF(Data!AJ136&lt;=QUARTILE(Data!AJ$4:AJ$195,1),1,IF(Data!AJ136&lt;=MEDIAN(Data!AJ$4:AJ$195),2,IF(Data!AJ136&lt;=QUARTILE(Data!AJ$4:AJ$195,3),3,4)))</f>
        <v>3</v>
      </c>
      <c r="AK136" s="25">
        <f>IF(Data!AK136&lt;=QUARTILE(Data!AK$4:AK$195,1),1,IF(Data!AK136&lt;=MEDIAN(Data!AK$4:AK$195),2,IF(Data!AK136&lt;=QUARTILE(Data!AK$4:AK$195,3),3,4)))</f>
        <v>1</v>
      </c>
      <c r="AL136" s="28">
        <f>IF(Data!AL136&lt;=QUARTILE(Data!AL$4:AL$195,1),1,IF(Data!AL136&lt;=MEDIAN(Data!AL$4:AL$195),2,IF(Data!AL136&lt;=QUARTILE(Data!AL$4:AL$195,3),3,4)))</f>
        <v>1</v>
      </c>
      <c r="AM136" s="28">
        <f>IF(Data!AM136&lt;=QUARTILE(Data!AM$4:AM$195,1),1,IF(Data!AM136&lt;=MEDIAN(Data!AM$4:AM$195),2,IF(Data!AM136&lt;=QUARTILE(Data!AM$4:AM$195,3),3,4)))</f>
        <v>2</v>
      </c>
      <c r="AN136" s="22">
        <f>IF(Data!AN136&lt;=QUARTILE(Data!AN$4:AN$195,1),1,IF(Data!AN136&lt;=MEDIAN(Data!AN$4:AN$195),2,IF(Data!AN136&lt;=QUARTILE(Data!AN$4:AN$195,3),3,4)))</f>
        <v>1</v>
      </c>
      <c r="AO136" s="28">
        <f>IF(Data!AO136&lt;=QUARTILE(Data!AO$4:AO$195,1),1,IF(Data!AO136&lt;=MEDIAN(Data!AO$4:AO$195),2,IF(Data!AO136&lt;=QUARTILE(Data!AO$4:AO$195,3),3,4)))</f>
        <v>2</v>
      </c>
      <c r="AP136" s="28">
        <f>IF(Data!AP136&lt;=QUARTILE(Data!AP$4:AP$195,1),1,IF(Data!AP136&lt;=MEDIAN(Data!AP$4:AP$195),2,IF(Data!AP136&lt;=QUARTILE(Data!AP$4:AP$195,3),3,4)))</f>
        <v>3</v>
      </c>
      <c r="AQ136" s="28">
        <f>IF(Data!AQ136&lt;=QUARTILE(Data!AQ$4:AQ$195,1),1,IF(Data!AQ136&lt;=MEDIAN(Data!AQ$4:AQ$195),2,IF(Data!AQ136&lt;=QUARTILE(Data!AQ$4:AQ$195,3),3,4)))</f>
        <v>1</v>
      </c>
      <c r="AR136" s="28">
        <f>IF(Data!AR136&lt;=QUARTILE(Data!AR$4:AR$195,1),1,IF(Data!AR136&lt;=MEDIAN(Data!AR$4:AR$195),2,IF(Data!AR136&lt;=QUARTILE(Data!AR$4:AR$195,3),3,4)))</f>
        <v>1</v>
      </c>
      <c r="AS136" s="28">
        <f>IF(Data!AS136&lt;=QUARTILE(Data!AS$4:AS$195,1),1,IF(Data!AS136&lt;=MEDIAN(Data!AS$4:AS$195),2,IF(Data!AS136&lt;=QUARTILE(Data!AS$4:AS$195,3),3,4)))</f>
        <v>1</v>
      </c>
      <c r="AT136" s="28">
        <f>IF(Data!AT136&lt;=QUARTILE(Data!AT$4:AT$195,1),1,IF(Data!AT136&lt;=MEDIAN(Data!AT$4:AT$195),2,IF(Data!AT136&lt;=QUARTILE(Data!AT$4:AT$195,3),3,4)))</f>
        <v>4</v>
      </c>
      <c r="AU136" s="22">
        <f>IF(Data!AU136&lt;=QUARTILE(Data!AU$4:AU$195,1),1,IF(Data!AU136&lt;=MEDIAN(Data!AU$4:AU$195),2,IF(Data!AU136&lt;=QUARTILE(Data!AU$4:AU$195,3),3,4)))</f>
        <v>4</v>
      </c>
      <c r="AV136" s="25">
        <f>IF(Data!AV136&lt;=QUARTILE(Data!AV$4:AV$195,1),1,IF(Data!AV136&lt;=MEDIAN(Data!AV$4:AV$195),2,IF(Data!AV136&lt;=QUARTILE(Data!AV$4:AV$195,3),3,4)))</f>
        <v>1</v>
      </c>
      <c r="AW136" s="28">
        <f>IF(Data!AW136&lt;=QUARTILE(Data!AW$4:AW$195,1),1,IF(Data!AW136&lt;=MEDIAN(Data!AW$4:AW$195),2,IF(Data!AW136&lt;=QUARTILE(Data!AW$4:AW$195,3),3,4)))</f>
        <v>1</v>
      </c>
      <c r="AX136" s="28">
        <f>IF(Data!AX136&lt;=QUARTILE(Data!AX$4:AX$195,1),1,IF(Data!AX136&lt;=MEDIAN(Data!AX$4:AX$195),2,IF(Data!AX136&lt;=QUARTILE(Data!AX$4:AX$195,3),3,4)))</f>
        <v>1</v>
      </c>
      <c r="AY136" s="22">
        <f>IF(Data!AY136&lt;=QUARTILE(Data!AY$4:AY$195,1),1,IF(Data!AY136&lt;=MEDIAN(Data!AY$4:AY$195),2,IF(Data!AY136&lt;=QUARTILE(Data!AY$4:AY$195,3),3,4)))</f>
        <v>1</v>
      </c>
      <c r="AZ136" s="25">
        <f>IF(Data!AZ136&lt;=QUARTILE(Data!AZ$4:AZ$195,1),1,IF(Data!AZ136&lt;=MEDIAN(Data!AZ$4:AZ$195),2,IF(Data!AZ136&lt;=QUARTILE(Data!AZ$4:AZ$195,3),3,4)))</f>
        <v>4</v>
      </c>
      <c r="BA136" s="22">
        <f>IF(Data!BA136&lt;=QUARTILE(Data!BA$4:BA$195,1),1,IF(Data!BA136&lt;=MEDIAN(Data!BA$4:BA$195),2,IF(Data!BA136&lt;=QUARTILE(Data!BA$4:BA$195,3),3,4)))</f>
        <v>4</v>
      </c>
    </row>
    <row r="137" spans="1:53" x14ac:dyDescent="0.25">
      <c r="A137" s="4" t="s">
        <v>25</v>
      </c>
      <c r="B137" s="40">
        <v>2005</v>
      </c>
      <c r="C137" s="25">
        <v>11</v>
      </c>
      <c r="D137" s="28">
        <v>5</v>
      </c>
      <c r="E137" s="77" t="s">
        <v>97</v>
      </c>
      <c r="F137" s="28">
        <v>1.4</v>
      </c>
      <c r="G137" s="28">
        <v>-5.2</v>
      </c>
      <c r="H137" s="22">
        <v>6.6</v>
      </c>
      <c r="I137" s="25">
        <f>IF(Data!I137&lt;=QUARTILE(Data!I$4:I$195,1),1,IF(Data!I137&lt;=MEDIAN(Data!I$4:I$195),2,IF(Data!I137&lt;=QUARTILE(Data!I$4:I$195,3),3,4)))</f>
        <v>1</v>
      </c>
      <c r="J137" s="28">
        <f>IF(Data!J137&lt;=QUARTILE(Data!J$4:J$195,1),1,IF(Data!J137&lt;=MEDIAN(Data!J$4:J$195),2,IF(Data!J137&lt;=QUARTILE(Data!J$4:J$195,3),3,4)))</f>
        <v>1</v>
      </c>
      <c r="K137" s="28">
        <f>IF(Data!K137&lt;=QUARTILE(Data!K$4:K$195,1),1,IF(Data!K137&lt;=MEDIAN(Data!K$4:K$195),2,IF(Data!K137&lt;=QUARTILE(Data!K$4:K$195,3),3,4)))</f>
        <v>1</v>
      </c>
      <c r="L137" s="22">
        <f>IF(Data!L137&lt;=QUARTILE(Data!L$4:L$195,1),1,IF(Data!L137&lt;=MEDIAN(Data!L$4:L$195),2,IF(Data!L137&lt;=QUARTILE(Data!L$4:L$195,3),3,4)))</f>
        <v>1</v>
      </c>
      <c r="M137" s="28">
        <f>IF(Data!M137&lt;=QUARTILE(Data!M$4:M$195,1),1,IF(Data!M137&lt;=MEDIAN(Data!M$4:M$195),2,IF(Data!M137&lt;=QUARTILE(Data!M$4:M$195,3),3,4)))</f>
        <v>1</v>
      </c>
      <c r="N137" s="28">
        <f>IF(Data!N137&lt;=QUARTILE(Data!N$4:N$195,1),1,IF(Data!N137&lt;=MEDIAN(Data!N$4:N$195),2,IF(Data!N137&lt;=QUARTILE(Data!N$4:N$195,3),3,4)))</f>
        <v>1</v>
      </c>
      <c r="O137" s="28">
        <f>IF(Data!O137&lt;=QUARTILE(Data!O$4:O$195,1),1,IF(Data!O137&lt;=MEDIAN(Data!O$4:O$195),2,IF(Data!O137&lt;=QUARTILE(Data!O$4:O$195,3),3,4)))</f>
        <v>1</v>
      </c>
      <c r="P137" s="28">
        <f>IF(Data!P137&lt;=QUARTILE(Data!P$4:P$195,1),1,IF(Data!P137&lt;=MEDIAN(Data!P$4:P$195),2,IF(Data!P137&lt;=QUARTILE(Data!P$4:P$195,3),3,4)))</f>
        <v>1</v>
      </c>
      <c r="Q137" s="28">
        <f>IF(Data!Q137&lt;=QUARTILE(Data!Q$4:Q$195,1),1,IF(Data!Q137&lt;=MEDIAN(Data!Q$4:Q$195),2,IF(Data!Q137&lt;=QUARTILE(Data!Q$4:Q$195,3),3,4)))</f>
        <v>1</v>
      </c>
      <c r="R137" s="28">
        <f>IF(Data!R137&lt;=QUARTILE(Data!R$4:R$195,1),1,IF(Data!R137&lt;=MEDIAN(Data!R$4:R$195),2,IF(Data!R137&lt;=QUARTILE(Data!R$4:R$195,3),3,4)))</f>
        <v>1</v>
      </c>
      <c r="S137" s="28">
        <f>IF(Data!S137&lt;=QUARTILE(Data!S$4:S$195,1),1,IF(Data!S137&lt;=MEDIAN(Data!S$4:S$195),2,IF(Data!S137&lt;=QUARTILE(Data!S$4:S$195,3),3,4)))</f>
        <v>2</v>
      </c>
      <c r="T137" s="22">
        <f>IF(Data!T137&lt;=QUARTILE(Data!T$4:T$195,1),1,IF(Data!T137&lt;=MEDIAN(Data!T$4:T$195),2,IF(Data!T137&lt;=QUARTILE(Data!T$4:T$195,3),3,4)))</f>
        <v>2</v>
      </c>
      <c r="U137" s="25">
        <f>IF(Data!U137&lt;=QUARTILE(Data!U$4:U$195,1),1,IF(Data!U137&lt;=MEDIAN(Data!U$4:U$195),2,IF(Data!U137&lt;=QUARTILE(Data!U$4:U$195,3),3,4)))</f>
        <v>4</v>
      </c>
      <c r="V137" s="28">
        <f>IF(Data!V137&lt;=QUARTILE(Data!V$4:V$195,1),1,IF(Data!V137&lt;=MEDIAN(Data!V$4:V$195),2,IF(Data!V137&lt;=QUARTILE(Data!V$4:V$195,3),3,4)))</f>
        <v>4</v>
      </c>
      <c r="W137" s="28">
        <f>IF(Data!W137&lt;=QUARTILE(Data!W$4:W$195,1),1,IF(Data!W137&lt;=MEDIAN(Data!W$4:W$195),2,IF(Data!W137&lt;=QUARTILE(Data!W$4:W$195,3),3,4)))</f>
        <v>2</v>
      </c>
      <c r="X137" s="22">
        <f>IF(Data!X137&lt;=QUARTILE(Data!X$4:X$195,1),1,IF(Data!X137&lt;=MEDIAN(Data!X$4:X$195),2,IF(Data!X137&lt;=QUARTILE(Data!X$4:X$195,3),3,4)))</f>
        <v>3</v>
      </c>
      <c r="Y137" s="30">
        <f>IF(Data!Y137&lt;=QUARTILE(Data!Y$4:Y$195,1),1,IF(Data!Y137&lt;=MEDIAN(Data!Y$4:Y$195),2,IF(Data!Y137&lt;=QUARTILE(Data!Y$4:Y$195,3),3,4)))</f>
        <v>2</v>
      </c>
      <c r="Z137" s="30">
        <f>IF(Data!Z137&lt;=QUARTILE(Data!Z$4:Z$195,1),1,IF(Data!Z137&lt;=MEDIAN(Data!Z$4:Z$195),2,IF(Data!Z137&lt;=QUARTILE(Data!Z$4:Z$195,3),3,4)))</f>
        <v>3</v>
      </c>
      <c r="AA137" s="25">
        <f>IF(Data!AA137&lt;=QUARTILE(Data!AA$4:AA$195,1),1,IF(Data!AA137&lt;=MEDIAN(Data!AA$4:AA$195),2,IF(Data!AA137&lt;=QUARTILE(Data!AA$4:AA$195,3),3,4)))</f>
        <v>4</v>
      </c>
      <c r="AB137" s="22">
        <f>IF(Data!AB137&lt;=QUARTILE(Data!AB$4:AB$195,1),1,IF(Data!AB137&lt;=MEDIAN(Data!AB$4:AB$195),2,IF(Data!AB137&lt;=QUARTILE(Data!AB$4:AB$195,3),3,4)))</f>
        <v>4</v>
      </c>
      <c r="AC137" s="25">
        <f>IF(Data!AC137&lt;=QUARTILE(Data!AC$4:AC$195,1),1,IF(Data!AC137&lt;=MEDIAN(Data!AC$4:AC$195),2,IF(Data!AC137&lt;=QUARTILE(Data!AC$4:AC$195,3),3,4)))</f>
        <v>1</v>
      </c>
      <c r="AD137" s="22">
        <f>IF(Data!AD137&lt;=QUARTILE(Data!AD$4:AD$195,1),1,IF(Data!AD137&lt;=MEDIAN(Data!AD$4:AD$195),2,IF(Data!AD137&lt;=QUARTILE(Data!AD$4:AD$195,3),3,4)))</f>
        <v>1</v>
      </c>
      <c r="AE137" s="28">
        <f>IF(Data!AE137&lt;=QUARTILE(Data!AE$4:AE$195,1),1,IF(Data!AE137&lt;=MEDIAN(Data!AE$4:AE$195),2,IF(Data!AE137&lt;=QUARTILE(Data!AE$4:AE$195,3),3,4)))</f>
        <v>4</v>
      </c>
      <c r="AF137" s="28">
        <f>IF(Data!AF137&lt;=QUARTILE(Data!AF$4:AF$195,1),1,IF(Data!AF137&lt;=MEDIAN(Data!AF$4:AF$195),2,IF(Data!AF137&lt;=QUARTILE(Data!AF$4:AF$195,3),3,4)))</f>
        <v>3</v>
      </c>
      <c r="AG137" s="28">
        <f>IF(Data!AG137&lt;=QUARTILE(Data!AG$4:AG$195,1),1,IF(Data!AG137&lt;=MEDIAN(Data!AG$4:AG$195),2,IF(Data!AG137&lt;=QUARTILE(Data!AG$4:AG$195,3),3,4)))</f>
        <v>2</v>
      </c>
      <c r="AH137" s="22">
        <f>IF(Data!AH137&lt;=QUARTILE(Data!AH$4:AH$195,1),1,IF(Data!AH137&lt;=MEDIAN(Data!AH$4:AH$195),2,IF(Data!AH137&lt;=QUARTILE(Data!AH$4:AH$195,3),3,4)))</f>
        <v>1</v>
      </c>
      <c r="AI137" s="25">
        <f>IF(Data!AI137&lt;=QUARTILE(Data!AI$4:AI$195,1),1,IF(Data!AI137&lt;=MEDIAN(Data!AI$4:AI$195),2,IF(Data!AI137&lt;=QUARTILE(Data!AI$4:AI$195,3),3,4)))</f>
        <v>4</v>
      </c>
      <c r="AJ137" s="22">
        <f>IF(Data!AJ137&lt;=QUARTILE(Data!AJ$4:AJ$195,1),1,IF(Data!AJ137&lt;=MEDIAN(Data!AJ$4:AJ$195),2,IF(Data!AJ137&lt;=QUARTILE(Data!AJ$4:AJ$195,3),3,4)))</f>
        <v>4</v>
      </c>
      <c r="AK137" s="25">
        <f>IF(Data!AK137&lt;=QUARTILE(Data!AK$4:AK$195,1),1,IF(Data!AK137&lt;=MEDIAN(Data!AK$4:AK$195),2,IF(Data!AK137&lt;=QUARTILE(Data!AK$4:AK$195,3),3,4)))</f>
        <v>1</v>
      </c>
      <c r="AL137" s="28">
        <f>IF(Data!AL137&lt;=QUARTILE(Data!AL$4:AL$195,1),1,IF(Data!AL137&lt;=MEDIAN(Data!AL$4:AL$195),2,IF(Data!AL137&lt;=QUARTILE(Data!AL$4:AL$195,3),3,4)))</f>
        <v>1</v>
      </c>
      <c r="AM137" s="28">
        <f>IF(Data!AM137&lt;=QUARTILE(Data!AM$4:AM$195,1),1,IF(Data!AM137&lt;=MEDIAN(Data!AM$4:AM$195),2,IF(Data!AM137&lt;=QUARTILE(Data!AM$4:AM$195,3),3,4)))</f>
        <v>4</v>
      </c>
      <c r="AN137" s="22">
        <f>IF(Data!AN137&lt;=QUARTILE(Data!AN$4:AN$195,1),1,IF(Data!AN137&lt;=MEDIAN(Data!AN$4:AN$195),2,IF(Data!AN137&lt;=QUARTILE(Data!AN$4:AN$195,3),3,4)))</f>
        <v>1</v>
      </c>
      <c r="AO137" s="28">
        <f>IF(Data!AO137&lt;=QUARTILE(Data!AO$4:AO$195,1),1,IF(Data!AO137&lt;=MEDIAN(Data!AO$4:AO$195),2,IF(Data!AO137&lt;=QUARTILE(Data!AO$4:AO$195,3),3,4)))</f>
        <v>2</v>
      </c>
      <c r="AP137" s="28">
        <f>IF(Data!AP137&lt;=QUARTILE(Data!AP$4:AP$195,1),1,IF(Data!AP137&lt;=MEDIAN(Data!AP$4:AP$195),2,IF(Data!AP137&lt;=QUARTILE(Data!AP$4:AP$195,3),3,4)))</f>
        <v>4</v>
      </c>
      <c r="AQ137" s="28">
        <f>IF(Data!AQ137&lt;=QUARTILE(Data!AQ$4:AQ$195,1),1,IF(Data!AQ137&lt;=MEDIAN(Data!AQ$4:AQ$195),2,IF(Data!AQ137&lt;=QUARTILE(Data!AQ$4:AQ$195,3),3,4)))</f>
        <v>1</v>
      </c>
      <c r="AR137" s="28">
        <f>IF(Data!AR137&lt;=QUARTILE(Data!AR$4:AR$195,1),1,IF(Data!AR137&lt;=MEDIAN(Data!AR$4:AR$195),2,IF(Data!AR137&lt;=QUARTILE(Data!AR$4:AR$195,3),3,4)))</f>
        <v>1</v>
      </c>
      <c r="AS137" s="28">
        <f>IF(Data!AS137&lt;=QUARTILE(Data!AS$4:AS$195,1),1,IF(Data!AS137&lt;=MEDIAN(Data!AS$4:AS$195),2,IF(Data!AS137&lt;=QUARTILE(Data!AS$4:AS$195,3),3,4)))</f>
        <v>1</v>
      </c>
      <c r="AT137" s="28">
        <f>IF(Data!AT137&lt;=QUARTILE(Data!AT$4:AT$195,1),1,IF(Data!AT137&lt;=MEDIAN(Data!AT$4:AT$195),2,IF(Data!AT137&lt;=QUARTILE(Data!AT$4:AT$195,3),3,4)))</f>
        <v>4</v>
      </c>
      <c r="AU137" s="22">
        <f>IF(Data!AU137&lt;=QUARTILE(Data!AU$4:AU$195,1),1,IF(Data!AU137&lt;=MEDIAN(Data!AU$4:AU$195),2,IF(Data!AU137&lt;=QUARTILE(Data!AU$4:AU$195,3),3,4)))</f>
        <v>4</v>
      </c>
      <c r="AV137" s="25">
        <f>IF(Data!AV137&lt;=QUARTILE(Data!AV$4:AV$195,1),1,IF(Data!AV137&lt;=MEDIAN(Data!AV$4:AV$195),2,IF(Data!AV137&lt;=QUARTILE(Data!AV$4:AV$195,3),3,4)))</f>
        <v>3</v>
      </c>
      <c r="AW137" s="28">
        <f>IF(Data!AW137&lt;=QUARTILE(Data!AW$4:AW$195,1),1,IF(Data!AW137&lt;=MEDIAN(Data!AW$4:AW$195),2,IF(Data!AW137&lt;=QUARTILE(Data!AW$4:AW$195,3),3,4)))</f>
        <v>2</v>
      </c>
      <c r="AX137" s="28">
        <f>IF(Data!AX137&lt;=QUARTILE(Data!AX$4:AX$195,1),1,IF(Data!AX137&lt;=MEDIAN(Data!AX$4:AX$195),2,IF(Data!AX137&lt;=QUARTILE(Data!AX$4:AX$195,3),3,4)))</f>
        <v>1</v>
      </c>
      <c r="AY137" s="22">
        <f>IF(Data!AY137&lt;=QUARTILE(Data!AY$4:AY$195,1),1,IF(Data!AY137&lt;=MEDIAN(Data!AY$4:AY$195),2,IF(Data!AY137&lt;=QUARTILE(Data!AY$4:AY$195,3),3,4)))</f>
        <v>1</v>
      </c>
      <c r="AZ137" s="25">
        <f>IF(Data!AZ137&lt;=QUARTILE(Data!AZ$4:AZ$195,1),1,IF(Data!AZ137&lt;=MEDIAN(Data!AZ$4:AZ$195),2,IF(Data!AZ137&lt;=QUARTILE(Data!AZ$4:AZ$195,3),3,4)))</f>
        <v>4</v>
      </c>
      <c r="BA137" s="22">
        <f>IF(Data!BA137&lt;=QUARTILE(Data!BA$4:BA$195,1),1,IF(Data!BA137&lt;=MEDIAN(Data!BA$4:BA$195),2,IF(Data!BA137&lt;=QUARTILE(Data!BA$4:BA$195,3),3,4)))</f>
        <v>2</v>
      </c>
    </row>
    <row r="138" spans="1:53" x14ac:dyDescent="0.25">
      <c r="A138" s="4" t="s">
        <v>7</v>
      </c>
      <c r="B138" s="40">
        <v>2005</v>
      </c>
      <c r="C138" s="25">
        <v>11</v>
      </c>
      <c r="D138" s="28">
        <v>5</v>
      </c>
      <c r="E138" s="77" t="s">
        <v>97</v>
      </c>
      <c r="F138" s="28">
        <v>3.8</v>
      </c>
      <c r="G138" s="28">
        <v>6.5</v>
      </c>
      <c r="H138" s="22">
        <v>-2.7</v>
      </c>
      <c r="I138" s="25">
        <f>IF(Data!I138&lt;=QUARTILE(Data!I$4:I$195,1),1,IF(Data!I138&lt;=MEDIAN(Data!I$4:I$195),2,IF(Data!I138&lt;=QUARTILE(Data!I$4:I$195,3),3,4)))</f>
        <v>4</v>
      </c>
      <c r="J138" s="28">
        <f>IF(Data!J138&lt;=QUARTILE(Data!J$4:J$195,1),1,IF(Data!J138&lt;=MEDIAN(Data!J$4:J$195),2,IF(Data!J138&lt;=QUARTILE(Data!J$4:J$195,3),3,4)))</f>
        <v>4</v>
      </c>
      <c r="K138" s="28">
        <f>IF(Data!K138&lt;=QUARTILE(Data!K$4:K$195,1),1,IF(Data!K138&lt;=MEDIAN(Data!K$4:K$195),2,IF(Data!K138&lt;=QUARTILE(Data!K$4:K$195,3),3,4)))</f>
        <v>3</v>
      </c>
      <c r="L138" s="22">
        <f>IF(Data!L138&lt;=QUARTILE(Data!L$4:L$195,1),1,IF(Data!L138&lt;=MEDIAN(Data!L$4:L$195),2,IF(Data!L138&lt;=QUARTILE(Data!L$4:L$195,3),3,4)))</f>
        <v>4</v>
      </c>
      <c r="M138" s="28">
        <f>IF(Data!M138&lt;=QUARTILE(Data!M$4:M$195,1),1,IF(Data!M138&lt;=MEDIAN(Data!M$4:M$195),2,IF(Data!M138&lt;=QUARTILE(Data!M$4:M$195,3),3,4)))</f>
        <v>4</v>
      </c>
      <c r="N138" s="28">
        <f>IF(Data!N138&lt;=QUARTILE(Data!N$4:N$195,1),1,IF(Data!N138&lt;=MEDIAN(Data!N$4:N$195),2,IF(Data!N138&lt;=QUARTILE(Data!N$4:N$195,3),3,4)))</f>
        <v>3</v>
      </c>
      <c r="O138" s="28">
        <f>IF(Data!O138&lt;=QUARTILE(Data!O$4:O$195,1),1,IF(Data!O138&lt;=MEDIAN(Data!O$4:O$195),2,IF(Data!O138&lt;=QUARTILE(Data!O$4:O$195,3),3,4)))</f>
        <v>4</v>
      </c>
      <c r="P138" s="28">
        <f>IF(Data!P138&lt;=QUARTILE(Data!P$4:P$195,1),1,IF(Data!P138&lt;=MEDIAN(Data!P$4:P$195),2,IF(Data!P138&lt;=QUARTILE(Data!P$4:P$195,3),3,4)))</f>
        <v>4</v>
      </c>
      <c r="Q138" s="28">
        <f>IF(Data!Q138&lt;=QUARTILE(Data!Q$4:Q$195,1),1,IF(Data!Q138&lt;=MEDIAN(Data!Q$4:Q$195),2,IF(Data!Q138&lt;=QUARTILE(Data!Q$4:Q$195,3),3,4)))</f>
        <v>4</v>
      </c>
      <c r="R138" s="28">
        <f>IF(Data!R138&lt;=QUARTILE(Data!R$4:R$195,1),1,IF(Data!R138&lt;=MEDIAN(Data!R$4:R$195),2,IF(Data!R138&lt;=QUARTILE(Data!R$4:R$195,3),3,4)))</f>
        <v>4</v>
      </c>
      <c r="S138" s="28">
        <f>IF(Data!S138&lt;=QUARTILE(Data!S$4:S$195,1),1,IF(Data!S138&lt;=MEDIAN(Data!S$4:S$195),2,IF(Data!S138&lt;=QUARTILE(Data!S$4:S$195,3),3,4)))</f>
        <v>1</v>
      </c>
      <c r="T138" s="22">
        <f>IF(Data!T138&lt;=QUARTILE(Data!T$4:T$195,1),1,IF(Data!T138&lt;=MEDIAN(Data!T$4:T$195),2,IF(Data!T138&lt;=QUARTILE(Data!T$4:T$195,3),3,4)))</f>
        <v>1</v>
      </c>
      <c r="U138" s="25">
        <f>IF(Data!U138&lt;=QUARTILE(Data!U$4:U$195,1),1,IF(Data!U138&lt;=MEDIAN(Data!U$4:U$195),2,IF(Data!U138&lt;=QUARTILE(Data!U$4:U$195,3),3,4)))</f>
        <v>3</v>
      </c>
      <c r="V138" s="28">
        <f>IF(Data!V138&lt;=QUARTILE(Data!V$4:V$195,1),1,IF(Data!V138&lt;=MEDIAN(Data!V$4:V$195),2,IF(Data!V138&lt;=QUARTILE(Data!V$4:V$195,3),3,4)))</f>
        <v>3</v>
      </c>
      <c r="W138" s="28">
        <f>IF(Data!W138&lt;=QUARTILE(Data!W$4:W$195,1),1,IF(Data!W138&lt;=MEDIAN(Data!W$4:W$195),2,IF(Data!W138&lt;=QUARTILE(Data!W$4:W$195,3),3,4)))</f>
        <v>3</v>
      </c>
      <c r="X138" s="22">
        <f>IF(Data!X138&lt;=QUARTILE(Data!X$4:X$195,1),1,IF(Data!X138&lt;=MEDIAN(Data!X$4:X$195),2,IF(Data!X138&lt;=QUARTILE(Data!X$4:X$195,3),3,4)))</f>
        <v>3</v>
      </c>
      <c r="Y138" s="30">
        <f>IF(Data!Y138&lt;=QUARTILE(Data!Y$4:Y$195,1),1,IF(Data!Y138&lt;=MEDIAN(Data!Y$4:Y$195),2,IF(Data!Y138&lt;=QUARTILE(Data!Y$4:Y$195,3),3,4)))</f>
        <v>2</v>
      </c>
      <c r="Z138" s="30">
        <f>IF(Data!Z138&lt;=QUARTILE(Data!Z$4:Z$195,1),1,IF(Data!Z138&lt;=MEDIAN(Data!Z$4:Z$195),2,IF(Data!Z138&lt;=QUARTILE(Data!Z$4:Z$195,3),3,4)))</f>
        <v>1</v>
      </c>
      <c r="AA138" s="25">
        <f>IF(Data!AA138&lt;=QUARTILE(Data!AA$4:AA$195,1),1,IF(Data!AA138&lt;=MEDIAN(Data!AA$4:AA$195),2,IF(Data!AA138&lt;=QUARTILE(Data!AA$4:AA$195,3),3,4)))</f>
        <v>1</v>
      </c>
      <c r="AB138" s="22">
        <f>IF(Data!AB138&lt;=QUARTILE(Data!AB$4:AB$195,1),1,IF(Data!AB138&lt;=MEDIAN(Data!AB$4:AB$195),2,IF(Data!AB138&lt;=QUARTILE(Data!AB$4:AB$195,3),3,4)))</f>
        <v>1</v>
      </c>
      <c r="AC138" s="25">
        <f>IF(Data!AC138&lt;=QUARTILE(Data!AC$4:AC$195,1),1,IF(Data!AC138&lt;=MEDIAN(Data!AC$4:AC$195),2,IF(Data!AC138&lt;=QUARTILE(Data!AC$4:AC$195,3),3,4)))</f>
        <v>3</v>
      </c>
      <c r="AD138" s="22">
        <f>IF(Data!AD138&lt;=QUARTILE(Data!AD$4:AD$195,1),1,IF(Data!AD138&lt;=MEDIAN(Data!AD$4:AD$195),2,IF(Data!AD138&lt;=QUARTILE(Data!AD$4:AD$195,3),3,4)))</f>
        <v>3</v>
      </c>
      <c r="AE138" s="28">
        <f>IF(Data!AE138&lt;=QUARTILE(Data!AE$4:AE$195,1),1,IF(Data!AE138&lt;=MEDIAN(Data!AE$4:AE$195),2,IF(Data!AE138&lt;=QUARTILE(Data!AE$4:AE$195,3),3,4)))</f>
        <v>4</v>
      </c>
      <c r="AF138" s="28">
        <f>IF(Data!AF138&lt;=QUARTILE(Data!AF$4:AF$195,1),1,IF(Data!AF138&lt;=MEDIAN(Data!AF$4:AF$195),2,IF(Data!AF138&lt;=QUARTILE(Data!AF$4:AF$195,3),3,4)))</f>
        <v>4</v>
      </c>
      <c r="AG138" s="28">
        <f>IF(Data!AG138&lt;=QUARTILE(Data!AG$4:AG$195,1),1,IF(Data!AG138&lt;=MEDIAN(Data!AG$4:AG$195),2,IF(Data!AG138&lt;=QUARTILE(Data!AG$4:AG$195,3),3,4)))</f>
        <v>2</v>
      </c>
      <c r="AH138" s="22">
        <f>IF(Data!AH138&lt;=QUARTILE(Data!AH$4:AH$195,1),1,IF(Data!AH138&lt;=MEDIAN(Data!AH$4:AH$195),2,IF(Data!AH138&lt;=QUARTILE(Data!AH$4:AH$195,3),3,4)))</f>
        <v>2</v>
      </c>
      <c r="AI138" s="25">
        <f>IF(Data!AI138&lt;=QUARTILE(Data!AI$4:AI$195,1),1,IF(Data!AI138&lt;=MEDIAN(Data!AI$4:AI$195),2,IF(Data!AI138&lt;=QUARTILE(Data!AI$4:AI$195,3),3,4)))</f>
        <v>1</v>
      </c>
      <c r="AJ138" s="22">
        <f>IF(Data!AJ138&lt;=QUARTILE(Data!AJ$4:AJ$195,1),1,IF(Data!AJ138&lt;=MEDIAN(Data!AJ$4:AJ$195),2,IF(Data!AJ138&lt;=QUARTILE(Data!AJ$4:AJ$195,3),3,4)))</f>
        <v>2</v>
      </c>
      <c r="AK138" s="25">
        <f>IF(Data!AK138&lt;=QUARTILE(Data!AK$4:AK$195,1),1,IF(Data!AK138&lt;=MEDIAN(Data!AK$4:AK$195),2,IF(Data!AK138&lt;=QUARTILE(Data!AK$4:AK$195,3),3,4)))</f>
        <v>3</v>
      </c>
      <c r="AL138" s="28">
        <f>IF(Data!AL138&lt;=QUARTILE(Data!AL$4:AL$195,1),1,IF(Data!AL138&lt;=MEDIAN(Data!AL$4:AL$195),2,IF(Data!AL138&lt;=QUARTILE(Data!AL$4:AL$195,3),3,4)))</f>
        <v>3</v>
      </c>
      <c r="AM138" s="28">
        <f>IF(Data!AM138&lt;=QUARTILE(Data!AM$4:AM$195,1),1,IF(Data!AM138&lt;=MEDIAN(Data!AM$4:AM$195),2,IF(Data!AM138&lt;=QUARTILE(Data!AM$4:AM$195,3),3,4)))</f>
        <v>2</v>
      </c>
      <c r="AN138" s="22">
        <f>IF(Data!AN138&lt;=QUARTILE(Data!AN$4:AN$195,1),1,IF(Data!AN138&lt;=MEDIAN(Data!AN$4:AN$195),2,IF(Data!AN138&lt;=QUARTILE(Data!AN$4:AN$195,3),3,4)))</f>
        <v>4</v>
      </c>
      <c r="AO138" s="28">
        <f>IF(Data!AO138&lt;=QUARTILE(Data!AO$4:AO$195,1),1,IF(Data!AO138&lt;=MEDIAN(Data!AO$4:AO$195),2,IF(Data!AO138&lt;=QUARTILE(Data!AO$4:AO$195,3),3,4)))</f>
        <v>3</v>
      </c>
      <c r="AP138" s="28">
        <f>IF(Data!AP138&lt;=QUARTILE(Data!AP$4:AP$195,1),1,IF(Data!AP138&lt;=MEDIAN(Data!AP$4:AP$195),2,IF(Data!AP138&lt;=QUARTILE(Data!AP$4:AP$195,3),3,4)))</f>
        <v>2</v>
      </c>
      <c r="AQ138" s="28">
        <f>IF(Data!AQ138&lt;=QUARTILE(Data!AQ$4:AQ$195,1),1,IF(Data!AQ138&lt;=MEDIAN(Data!AQ$4:AQ$195),2,IF(Data!AQ138&lt;=QUARTILE(Data!AQ$4:AQ$195,3),3,4)))</f>
        <v>3</v>
      </c>
      <c r="AR138" s="28">
        <f>IF(Data!AR138&lt;=QUARTILE(Data!AR$4:AR$195,1),1,IF(Data!AR138&lt;=MEDIAN(Data!AR$4:AR$195),2,IF(Data!AR138&lt;=QUARTILE(Data!AR$4:AR$195,3),3,4)))</f>
        <v>2</v>
      </c>
      <c r="AS138" s="28">
        <f>IF(Data!AS138&lt;=QUARTILE(Data!AS$4:AS$195,1),1,IF(Data!AS138&lt;=MEDIAN(Data!AS$4:AS$195),2,IF(Data!AS138&lt;=QUARTILE(Data!AS$4:AS$195,3),3,4)))</f>
        <v>3</v>
      </c>
      <c r="AT138" s="28">
        <f>IF(Data!AT138&lt;=QUARTILE(Data!AT$4:AT$195,1),1,IF(Data!AT138&lt;=MEDIAN(Data!AT$4:AT$195),2,IF(Data!AT138&lt;=QUARTILE(Data!AT$4:AT$195,3),3,4)))</f>
        <v>1</v>
      </c>
      <c r="AU138" s="22">
        <f>IF(Data!AU138&lt;=QUARTILE(Data!AU$4:AU$195,1),1,IF(Data!AU138&lt;=MEDIAN(Data!AU$4:AU$195),2,IF(Data!AU138&lt;=QUARTILE(Data!AU$4:AU$195,3),3,4)))</f>
        <v>1</v>
      </c>
      <c r="AV138" s="25">
        <f>IF(Data!AV138&lt;=QUARTILE(Data!AV$4:AV$195,1),1,IF(Data!AV138&lt;=MEDIAN(Data!AV$4:AV$195),2,IF(Data!AV138&lt;=QUARTILE(Data!AV$4:AV$195,3),3,4)))</f>
        <v>2</v>
      </c>
      <c r="AW138" s="28">
        <f>IF(Data!AW138&lt;=QUARTILE(Data!AW$4:AW$195,1),1,IF(Data!AW138&lt;=MEDIAN(Data!AW$4:AW$195),2,IF(Data!AW138&lt;=QUARTILE(Data!AW$4:AW$195,3),3,4)))</f>
        <v>3</v>
      </c>
      <c r="AX138" s="28">
        <f>IF(Data!AX138&lt;=QUARTILE(Data!AX$4:AX$195,1),1,IF(Data!AX138&lt;=MEDIAN(Data!AX$4:AX$195),2,IF(Data!AX138&lt;=QUARTILE(Data!AX$4:AX$195,3),3,4)))</f>
        <v>3</v>
      </c>
      <c r="AY138" s="22">
        <f>IF(Data!AY138&lt;=QUARTILE(Data!AY$4:AY$195,1),1,IF(Data!AY138&lt;=MEDIAN(Data!AY$4:AY$195),2,IF(Data!AY138&lt;=QUARTILE(Data!AY$4:AY$195,3),3,4)))</f>
        <v>3</v>
      </c>
      <c r="AZ138" s="25">
        <f>IF(Data!AZ138&lt;=QUARTILE(Data!AZ$4:AZ$195,1),1,IF(Data!AZ138&lt;=MEDIAN(Data!AZ$4:AZ$195),2,IF(Data!AZ138&lt;=QUARTILE(Data!AZ$4:AZ$195,3),3,4)))</f>
        <v>4</v>
      </c>
      <c r="BA138" s="22">
        <f>IF(Data!BA138&lt;=QUARTILE(Data!BA$4:BA$195,1),1,IF(Data!BA138&lt;=MEDIAN(Data!BA$4:BA$195),2,IF(Data!BA138&lt;=QUARTILE(Data!BA$4:BA$195,3),3,4)))</f>
        <v>3</v>
      </c>
    </row>
    <row r="139" spans="1:53" x14ac:dyDescent="0.25">
      <c r="A139" s="4" t="s">
        <v>10</v>
      </c>
      <c r="B139" s="40">
        <v>2005</v>
      </c>
      <c r="C139" s="25">
        <v>6</v>
      </c>
      <c r="D139" s="28">
        <v>10</v>
      </c>
      <c r="E139" s="77" t="s">
        <v>96</v>
      </c>
      <c r="F139" s="28">
        <v>-4.2</v>
      </c>
      <c r="G139" s="28">
        <v>-6</v>
      </c>
      <c r="H139" s="22">
        <v>1.7</v>
      </c>
      <c r="I139" s="25">
        <f>IF(Data!I139&lt;=QUARTILE(Data!I$4:I$195,1),1,IF(Data!I139&lt;=MEDIAN(Data!I$4:I$195),2,IF(Data!I139&lt;=QUARTILE(Data!I$4:I$195,3),3,4)))</f>
        <v>1</v>
      </c>
      <c r="J139" s="28">
        <f>IF(Data!J139&lt;=QUARTILE(Data!J$4:J$195,1),1,IF(Data!J139&lt;=MEDIAN(Data!J$4:J$195),2,IF(Data!J139&lt;=QUARTILE(Data!J$4:J$195,3),3,4)))</f>
        <v>1</v>
      </c>
      <c r="K139" s="28">
        <f>IF(Data!K139&lt;=QUARTILE(Data!K$4:K$195,1),1,IF(Data!K139&lt;=MEDIAN(Data!K$4:K$195),2,IF(Data!K139&lt;=QUARTILE(Data!K$4:K$195,3),3,4)))</f>
        <v>1</v>
      </c>
      <c r="L139" s="22">
        <f>IF(Data!L139&lt;=QUARTILE(Data!L$4:L$195,1),1,IF(Data!L139&lt;=MEDIAN(Data!L$4:L$195),2,IF(Data!L139&lt;=QUARTILE(Data!L$4:L$195,3),3,4)))</f>
        <v>1</v>
      </c>
      <c r="M139" s="28">
        <f>IF(Data!M139&lt;=QUARTILE(Data!M$4:M$195,1),1,IF(Data!M139&lt;=MEDIAN(Data!M$4:M$195),2,IF(Data!M139&lt;=QUARTILE(Data!M$4:M$195,3),3,4)))</f>
        <v>2</v>
      </c>
      <c r="N139" s="28">
        <f>IF(Data!N139&lt;=QUARTILE(Data!N$4:N$195,1),1,IF(Data!N139&lt;=MEDIAN(Data!N$4:N$195),2,IF(Data!N139&lt;=QUARTILE(Data!N$4:N$195,3),3,4)))</f>
        <v>2</v>
      </c>
      <c r="O139" s="28">
        <f>IF(Data!O139&lt;=QUARTILE(Data!O$4:O$195,1),1,IF(Data!O139&lt;=MEDIAN(Data!O$4:O$195),2,IF(Data!O139&lt;=QUARTILE(Data!O$4:O$195,3),3,4)))</f>
        <v>2</v>
      </c>
      <c r="P139" s="28">
        <f>IF(Data!P139&lt;=QUARTILE(Data!P$4:P$195,1),1,IF(Data!P139&lt;=MEDIAN(Data!P$4:P$195),2,IF(Data!P139&lt;=QUARTILE(Data!P$4:P$195,3),3,4)))</f>
        <v>1</v>
      </c>
      <c r="Q139" s="28">
        <f>IF(Data!Q139&lt;=QUARTILE(Data!Q$4:Q$195,1),1,IF(Data!Q139&lt;=MEDIAN(Data!Q$4:Q$195),2,IF(Data!Q139&lt;=QUARTILE(Data!Q$4:Q$195,3),3,4)))</f>
        <v>1</v>
      </c>
      <c r="R139" s="28">
        <f>IF(Data!R139&lt;=QUARTILE(Data!R$4:R$195,1),1,IF(Data!R139&lt;=MEDIAN(Data!R$4:R$195),2,IF(Data!R139&lt;=QUARTILE(Data!R$4:R$195,3),3,4)))</f>
        <v>2</v>
      </c>
      <c r="S139" s="28">
        <f>IF(Data!S139&lt;=QUARTILE(Data!S$4:S$195,1),1,IF(Data!S139&lt;=MEDIAN(Data!S$4:S$195),2,IF(Data!S139&lt;=QUARTILE(Data!S$4:S$195,3),3,4)))</f>
        <v>4</v>
      </c>
      <c r="T139" s="22">
        <f>IF(Data!T139&lt;=QUARTILE(Data!T$4:T$195,1),1,IF(Data!T139&lt;=MEDIAN(Data!T$4:T$195),2,IF(Data!T139&lt;=QUARTILE(Data!T$4:T$195,3),3,4)))</f>
        <v>3</v>
      </c>
      <c r="U139" s="25">
        <f>IF(Data!U139&lt;=QUARTILE(Data!U$4:U$195,1),1,IF(Data!U139&lt;=MEDIAN(Data!U$4:U$195),2,IF(Data!U139&lt;=QUARTILE(Data!U$4:U$195,3),3,4)))</f>
        <v>1</v>
      </c>
      <c r="V139" s="28">
        <f>IF(Data!V139&lt;=QUARTILE(Data!V$4:V$195,1),1,IF(Data!V139&lt;=MEDIAN(Data!V$4:V$195),2,IF(Data!V139&lt;=QUARTILE(Data!V$4:V$195,3),3,4)))</f>
        <v>1</v>
      </c>
      <c r="W139" s="28">
        <f>IF(Data!W139&lt;=QUARTILE(Data!W$4:W$195,1),1,IF(Data!W139&lt;=MEDIAN(Data!W$4:W$195),2,IF(Data!W139&lt;=QUARTILE(Data!W$4:W$195,3),3,4)))</f>
        <v>1</v>
      </c>
      <c r="X139" s="22">
        <f>IF(Data!X139&lt;=QUARTILE(Data!X$4:X$195,1),1,IF(Data!X139&lt;=MEDIAN(Data!X$4:X$195),2,IF(Data!X139&lt;=QUARTILE(Data!X$4:X$195,3),3,4)))</f>
        <v>1</v>
      </c>
      <c r="Y139" s="30">
        <f>IF(Data!Y139&lt;=QUARTILE(Data!Y$4:Y$195,1),1,IF(Data!Y139&lt;=MEDIAN(Data!Y$4:Y$195),2,IF(Data!Y139&lt;=QUARTILE(Data!Y$4:Y$195,3),3,4)))</f>
        <v>3</v>
      </c>
      <c r="Z139" s="30">
        <f>IF(Data!Z139&lt;=QUARTILE(Data!Z$4:Z$195,1),1,IF(Data!Z139&lt;=MEDIAN(Data!Z$4:Z$195),2,IF(Data!Z139&lt;=QUARTILE(Data!Z$4:Z$195,3),3,4)))</f>
        <v>3</v>
      </c>
      <c r="AA139" s="25">
        <f>IF(Data!AA139&lt;=QUARTILE(Data!AA$4:AA$195,1),1,IF(Data!AA139&lt;=MEDIAN(Data!AA$4:AA$195),2,IF(Data!AA139&lt;=QUARTILE(Data!AA$4:AA$195,3),3,4)))</f>
        <v>3</v>
      </c>
      <c r="AB139" s="22">
        <f>IF(Data!AB139&lt;=QUARTILE(Data!AB$4:AB$195,1),1,IF(Data!AB139&lt;=MEDIAN(Data!AB$4:AB$195),2,IF(Data!AB139&lt;=QUARTILE(Data!AB$4:AB$195,3),3,4)))</f>
        <v>3</v>
      </c>
      <c r="AC139" s="25">
        <f>IF(Data!AC139&lt;=QUARTILE(Data!AC$4:AC$195,1),1,IF(Data!AC139&lt;=MEDIAN(Data!AC$4:AC$195),2,IF(Data!AC139&lt;=QUARTILE(Data!AC$4:AC$195,3),3,4)))</f>
        <v>3</v>
      </c>
      <c r="AD139" s="22">
        <f>IF(Data!AD139&lt;=QUARTILE(Data!AD$4:AD$195,1),1,IF(Data!AD139&lt;=MEDIAN(Data!AD$4:AD$195),2,IF(Data!AD139&lt;=QUARTILE(Data!AD$4:AD$195,3),3,4)))</f>
        <v>3</v>
      </c>
      <c r="AE139" s="28">
        <f>IF(Data!AE139&lt;=QUARTILE(Data!AE$4:AE$195,1),1,IF(Data!AE139&lt;=MEDIAN(Data!AE$4:AE$195),2,IF(Data!AE139&lt;=QUARTILE(Data!AE$4:AE$195,3),3,4)))</f>
        <v>4</v>
      </c>
      <c r="AF139" s="28">
        <f>IF(Data!AF139&lt;=QUARTILE(Data!AF$4:AF$195,1),1,IF(Data!AF139&lt;=MEDIAN(Data!AF$4:AF$195),2,IF(Data!AF139&lt;=QUARTILE(Data!AF$4:AF$195,3),3,4)))</f>
        <v>4</v>
      </c>
      <c r="AG139" s="28">
        <f>IF(Data!AG139&lt;=QUARTILE(Data!AG$4:AG$195,1),1,IF(Data!AG139&lt;=MEDIAN(Data!AG$4:AG$195),2,IF(Data!AG139&lt;=QUARTILE(Data!AG$4:AG$195,3),3,4)))</f>
        <v>1</v>
      </c>
      <c r="AH139" s="22">
        <f>IF(Data!AH139&lt;=QUARTILE(Data!AH$4:AH$195,1),1,IF(Data!AH139&lt;=MEDIAN(Data!AH$4:AH$195),2,IF(Data!AH139&lt;=QUARTILE(Data!AH$4:AH$195,3),3,4)))</f>
        <v>1</v>
      </c>
      <c r="AI139" s="25">
        <f>IF(Data!AI139&lt;=QUARTILE(Data!AI$4:AI$195,1),1,IF(Data!AI139&lt;=MEDIAN(Data!AI$4:AI$195),2,IF(Data!AI139&lt;=QUARTILE(Data!AI$4:AI$195,3),3,4)))</f>
        <v>3</v>
      </c>
      <c r="AJ139" s="22">
        <f>IF(Data!AJ139&lt;=QUARTILE(Data!AJ$4:AJ$195,1),1,IF(Data!AJ139&lt;=MEDIAN(Data!AJ$4:AJ$195),2,IF(Data!AJ139&lt;=QUARTILE(Data!AJ$4:AJ$195,3),3,4)))</f>
        <v>3</v>
      </c>
      <c r="AK139" s="25">
        <f>IF(Data!AK139&lt;=QUARTILE(Data!AK$4:AK$195,1),1,IF(Data!AK139&lt;=MEDIAN(Data!AK$4:AK$195),2,IF(Data!AK139&lt;=QUARTILE(Data!AK$4:AK$195,3),3,4)))</f>
        <v>1</v>
      </c>
      <c r="AL139" s="28">
        <f>IF(Data!AL139&lt;=QUARTILE(Data!AL$4:AL$195,1),1,IF(Data!AL139&lt;=MEDIAN(Data!AL$4:AL$195),2,IF(Data!AL139&lt;=QUARTILE(Data!AL$4:AL$195,3),3,4)))</f>
        <v>2</v>
      </c>
      <c r="AM139" s="28">
        <f>IF(Data!AM139&lt;=QUARTILE(Data!AM$4:AM$195,1),1,IF(Data!AM139&lt;=MEDIAN(Data!AM$4:AM$195),2,IF(Data!AM139&lt;=QUARTILE(Data!AM$4:AM$195,3),3,4)))</f>
        <v>3</v>
      </c>
      <c r="AN139" s="22">
        <f>IF(Data!AN139&lt;=QUARTILE(Data!AN$4:AN$195,1),1,IF(Data!AN139&lt;=MEDIAN(Data!AN$4:AN$195),2,IF(Data!AN139&lt;=QUARTILE(Data!AN$4:AN$195,3),3,4)))</f>
        <v>2</v>
      </c>
      <c r="AO139" s="28">
        <f>IF(Data!AO139&lt;=QUARTILE(Data!AO$4:AO$195,1),1,IF(Data!AO139&lt;=MEDIAN(Data!AO$4:AO$195),2,IF(Data!AO139&lt;=QUARTILE(Data!AO$4:AO$195,3),3,4)))</f>
        <v>1</v>
      </c>
      <c r="AP139" s="28">
        <f>IF(Data!AP139&lt;=QUARTILE(Data!AP$4:AP$195,1),1,IF(Data!AP139&lt;=MEDIAN(Data!AP$4:AP$195),2,IF(Data!AP139&lt;=QUARTILE(Data!AP$4:AP$195,3),3,4)))</f>
        <v>1</v>
      </c>
      <c r="AQ139" s="28">
        <f>IF(Data!AQ139&lt;=QUARTILE(Data!AQ$4:AQ$195,1),1,IF(Data!AQ139&lt;=MEDIAN(Data!AQ$4:AQ$195),2,IF(Data!AQ139&lt;=QUARTILE(Data!AQ$4:AQ$195,3),3,4)))</f>
        <v>1</v>
      </c>
      <c r="AR139" s="28">
        <f>IF(Data!AR139&lt;=QUARTILE(Data!AR$4:AR$195,1),1,IF(Data!AR139&lt;=MEDIAN(Data!AR$4:AR$195),2,IF(Data!AR139&lt;=QUARTILE(Data!AR$4:AR$195,3),3,4)))</f>
        <v>2</v>
      </c>
      <c r="AS139" s="28">
        <f>IF(Data!AS139&lt;=QUARTILE(Data!AS$4:AS$195,1),1,IF(Data!AS139&lt;=MEDIAN(Data!AS$4:AS$195),2,IF(Data!AS139&lt;=QUARTILE(Data!AS$4:AS$195,3),3,4)))</f>
        <v>1</v>
      </c>
      <c r="AT139" s="28">
        <f>IF(Data!AT139&lt;=QUARTILE(Data!AT$4:AT$195,1),1,IF(Data!AT139&lt;=MEDIAN(Data!AT$4:AT$195),2,IF(Data!AT139&lt;=QUARTILE(Data!AT$4:AT$195,3),3,4)))</f>
        <v>1</v>
      </c>
      <c r="AU139" s="22">
        <f>IF(Data!AU139&lt;=QUARTILE(Data!AU$4:AU$195,1),1,IF(Data!AU139&lt;=MEDIAN(Data!AU$4:AU$195),2,IF(Data!AU139&lt;=QUARTILE(Data!AU$4:AU$195,3),3,4)))</f>
        <v>1</v>
      </c>
      <c r="AV139" s="25">
        <f>IF(Data!AV139&lt;=QUARTILE(Data!AV$4:AV$195,1),1,IF(Data!AV139&lt;=MEDIAN(Data!AV$4:AV$195),2,IF(Data!AV139&lt;=QUARTILE(Data!AV$4:AV$195,3),3,4)))</f>
        <v>4</v>
      </c>
      <c r="AW139" s="28">
        <f>IF(Data!AW139&lt;=QUARTILE(Data!AW$4:AW$195,1),1,IF(Data!AW139&lt;=MEDIAN(Data!AW$4:AW$195),2,IF(Data!AW139&lt;=QUARTILE(Data!AW$4:AW$195,3),3,4)))</f>
        <v>4</v>
      </c>
      <c r="AX139" s="28">
        <f>IF(Data!AX139&lt;=QUARTILE(Data!AX$4:AX$195,1),1,IF(Data!AX139&lt;=MEDIAN(Data!AX$4:AX$195),2,IF(Data!AX139&lt;=QUARTILE(Data!AX$4:AX$195,3),3,4)))</f>
        <v>2</v>
      </c>
      <c r="AY139" s="22">
        <f>IF(Data!AY139&lt;=QUARTILE(Data!AY$4:AY$195,1),1,IF(Data!AY139&lt;=MEDIAN(Data!AY$4:AY$195),2,IF(Data!AY139&lt;=QUARTILE(Data!AY$4:AY$195,3),3,4)))</f>
        <v>4</v>
      </c>
      <c r="AZ139" s="25">
        <f>IF(Data!AZ139&lt;=QUARTILE(Data!AZ$4:AZ$195,1),1,IF(Data!AZ139&lt;=MEDIAN(Data!AZ$4:AZ$195),2,IF(Data!AZ139&lt;=QUARTILE(Data!AZ$4:AZ$195,3),3,4)))</f>
        <v>2</v>
      </c>
      <c r="BA139" s="22">
        <f>IF(Data!BA139&lt;=QUARTILE(Data!BA$4:BA$195,1),1,IF(Data!BA139&lt;=MEDIAN(Data!BA$4:BA$195),2,IF(Data!BA139&lt;=QUARTILE(Data!BA$4:BA$195,3),3,4)))</f>
        <v>1</v>
      </c>
    </row>
    <row r="140" spans="1:53" x14ac:dyDescent="0.25">
      <c r="A140" s="4" t="s">
        <v>19</v>
      </c>
      <c r="B140" s="40">
        <v>2005</v>
      </c>
      <c r="C140" s="25">
        <v>9</v>
      </c>
      <c r="D140" s="28">
        <v>7</v>
      </c>
      <c r="E140" s="77" t="s">
        <v>96</v>
      </c>
      <c r="F140" s="28">
        <v>3.2</v>
      </c>
      <c r="G140" s="28">
        <v>-0.1</v>
      </c>
      <c r="H140" s="22">
        <v>3.2</v>
      </c>
      <c r="I140" s="25">
        <f>IF(Data!I140&lt;=QUARTILE(Data!I$4:I$195,1),1,IF(Data!I140&lt;=MEDIAN(Data!I$4:I$195),2,IF(Data!I140&lt;=QUARTILE(Data!I$4:I$195,3),3,4)))</f>
        <v>2</v>
      </c>
      <c r="J140" s="28">
        <f>IF(Data!J140&lt;=QUARTILE(Data!J$4:J$195,1),1,IF(Data!J140&lt;=MEDIAN(Data!J$4:J$195),2,IF(Data!J140&lt;=QUARTILE(Data!J$4:J$195,3),3,4)))</f>
        <v>3</v>
      </c>
      <c r="K140" s="28">
        <f>IF(Data!K140&lt;=QUARTILE(Data!K$4:K$195,1),1,IF(Data!K140&lt;=MEDIAN(Data!K$4:K$195),2,IF(Data!K140&lt;=QUARTILE(Data!K$4:K$195,3),3,4)))</f>
        <v>4</v>
      </c>
      <c r="L140" s="22">
        <f>IF(Data!L140&lt;=QUARTILE(Data!L$4:L$195,1),1,IF(Data!L140&lt;=MEDIAN(Data!L$4:L$195),2,IF(Data!L140&lt;=QUARTILE(Data!L$4:L$195,3),3,4)))</f>
        <v>3</v>
      </c>
      <c r="M140" s="28">
        <f>IF(Data!M140&lt;=QUARTILE(Data!M$4:M$195,1),1,IF(Data!M140&lt;=MEDIAN(Data!M$4:M$195),2,IF(Data!M140&lt;=QUARTILE(Data!M$4:M$195,3),3,4)))</f>
        <v>2</v>
      </c>
      <c r="N140" s="28">
        <f>IF(Data!N140&lt;=QUARTILE(Data!N$4:N$195,1),1,IF(Data!N140&lt;=MEDIAN(Data!N$4:N$195),2,IF(Data!N140&lt;=QUARTILE(Data!N$4:N$195,3),3,4)))</f>
        <v>2</v>
      </c>
      <c r="O140" s="28">
        <f>IF(Data!O140&lt;=QUARTILE(Data!O$4:O$195,1),1,IF(Data!O140&lt;=MEDIAN(Data!O$4:O$195),2,IF(Data!O140&lt;=QUARTILE(Data!O$4:O$195,3),3,4)))</f>
        <v>3</v>
      </c>
      <c r="P140" s="28">
        <f>IF(Data!P140&lt;=QUARTILE(Data!P$4:P$195,1),1,IF(Data!P140&lt;=MEDIAN(Data!P$4:P$195),2,IF(Data!P140&lt;=QUARTILE(Data!P$4:P$195,3),3,4)))</f>
        <v>3</v>
      </c>
      <c r="Q140" s="28">
        <f>IF(Data!Q140&lt;=QUARTILE(Data!Q$4:Q$195,1),1,IF(Data!Q140&lt;=MEDIAN(Data!Q$4:Q$195),2,IF(Data!Q140&lt;=QUARTILE(Data!Q$4:Q$195,3),3,4)))</f>
        <v>3</v>
      </c>
      <c r="R140" s="28">
        <f>IF(Data!R140&lt;=QUARTILE(Data!R$4:R$195,1),1,IF(Data!R140&lt;=MEDIAN(Data!R$4:R$195),2,IF(Data!R140&lt;=QUARTILE(Data!R$4:R$195,3),3,4)))</f>
        <v>3</v>
      </c>
      <c r="S140" s="28">
        <f>IF(Data!S140&lt;=QUARTILE(Data!S$4:S$195,1),1,IF(Data!S140&lt;=MEDIAN(Data!S$4:S$195),2,IF(Data!S140&lt;=QUARTILE(Data!S$4:S$195,3),3,4)))</f>
        <v>4</v>
      </c>
      <c r="T140" s="22">
        <f>IF(Data!T140&lt;=QUARTILE(Data!T$4:T$195,1),1,IF(Data!T140&lt;=MEDIAN(Data!T$4:T$195),2,IF(Data!T140&lt;=QUARTILE(Data!T$4:T$195,3),3,4)))</f>
        <v>4</v>
      </c>
      <c r="U140" s="25">
        <f>IF(Data!U140&lt;=QUARTILE(Data!U$4:U$195,1),1,IF(Data!U140&lt;=MEDIAN(Data!U$4:U$195),2,IF(Data!U140&lt;=QUARTILE(Data!U$4:U$195,3),3,4)))</f>
        <v>4</v>
      </c>
      <c r="V140" s="28">
        <f>IF(Data!V140&lt;=QUARTILE(Data!V$4:V$195,1),1,IF(Data!V140&lt;=MEDIAN(Data!V$4:V$195),2,IF(Data!V140&lt;=QUARTILE(Data!V$4:V$195,3),3,4)))</f>
        <v>3</v>
      </c>
      <c r="W140" s="28">
        <f>IF(Data!W140&lt;=QUARTILE(Data!W$4:W$195,1),1,IF(Data!W140&lt;=MEDIAN(Data!W$4:W$195),2,IF(Data!W140&lt;=QUARTILE(Data!W$4:W$195,3),3,4)))</f>
        <v>2</v>
      </c>
      <c r="X140" s="22">
        <f>IF(Data!X140&lt;=QUARTILE(Data!X$4:X$195,1),1,IF(Data!X140&lt;=MEDIAN(Data!X$4:X$195),2,IF(Data!X140&lt;=QUARTILE(Data!X$4:X$195,3),3,4)))</f>
        <v>2</v>
      </c>
      <c r="Y140" s="30">
        <f>IF(Data!Y140&lt;=QUARTILE(Data!Y$4:Y$195,1),1,IF(Data!Y140&lt;=MEDIAN(Data!Y$4:Y$195),2,IF(Data!Y140&lt;=QUARTILE(Data!Y$4:Y$195,3),3,4)))</f>
        <v>3</v>
      </c>
      <c r="Z140" s="30">
        <f>IF(Data!Z140&lt;=QUARTILE(Data!Z$4:Z$195,1),1,IF(Data!Z140&lt;=MEDIAN(Data!Z$4:Z$195),2,IF(Data!Z140&lt;=QUARTILE(Data!Z$4:Z$195,3),3,4)))</f>
        <v>3</v>
      </c>
      <c r="AA140" s="25">
        <f>IF(Data!AA140&lt;=QUARTILE(Data!AA$4:AA$195,1),1,IF(Data!AA140&lt;=MEDIAN(Data!AA$4:AA$195),2,IF(Data!AA140&lt;=QUARTILE(Data!AA$4:AA$195,3),3,4)))</f>
        <v>4</v>
      </c>
      <c r="AB140" s="22">
        <f>IF(Data!AB140&lt;=QUARTILE(Data!AB$4:AB$195,1),1,IF(Data!AB140&lt;=MEDIAN(Data!AB$4:AB$195),2,IF(Data!AB140&lt;=QUARTILE(Data!AB$4:AB$195,3),3,4)))</f>
        <v>2</v>
      </c>
      <c r="AC140" s="25">
        <f>IF(Data!AC140&lt;=QUARTILE(Data!AC$4:AC$195,1),1,IF(Data!AC140&lt;=MEDIAN(Data!AC$4:AC$195),2,IF(Data!AC140&lt;=QUARTILE(Data!AC$4:AC$195,3),3,4)))</f>
        <v>2</v>
      </c>
      <c r="AD140" s="22">
        <f>IF(Data!AD140&lt;=QUARTILE(Data!AD$4:AD$195,1),1,IF(Data!AD140&lt;=MEDIAN(Data!AD$4:AD$195),2,IF(Data!AD140&lt;=QUARTILE(Data!AD$4:AD$195,3),3,4)))</f>
        <v>3</v>
      </c>
      <c r="AE140" s="28">
        <f>IF(Data!AE140&lt;=QUARTILE(Data!AE$4:AE$195,1),1,IF(Data!AE140&lt;=MEDIAN(Data!AE$4:AE$195),2,IF(Data!AE140&lt;=QUARTILE(Data!AE$4:AE$195,3),3,4)))</f>
        <v>3</v>
      </c>
      <c r="AF140" s="28">
        <f>IF(Data!AF140&lt;=QUARTILE(Data!AF$4:AF$195,1),1,IF(Data!AF140&lt;=MEDIAN(Data!AF$4:AF$195),2,IF(Data!AF140&lt;=QUARTILE(Data!AF$4:AF$195,3),3,4)))</f>
        <v>2</v>
      </c>
      <c r="AG140" s="28">
        <f>IF(Data!AG140&lt;=QUARTILE(Data!AG$4:AG$195,1),1,IF(Data!AG140&lt;=MEDIAN(Data!AG$4:AG$195),2,IF(Data!AG140&lt;=QUARTILE(Data!AG$4:AG$195,3),3,4)))</f>
        <v>1</v>
      </c>
      <c r="AH140" s="22">
        <f>IF(Data!AH140&lt;=QUARTILE(Data!AH$4:AH$195,1),1,IF(Data!AH140&lt;=MEDIAN(Data!AH$4:AH$195),2,IF(Data!AH140&lt;=QUARTILE(Data!AH$4:AH$195,3),3,4)))</f>
        <v>1</v>
      </c>
      <c r="AI140" s="25">
        <f>IF(Data!AI140&lt;=QUARTILE(Data!AI$4:AI$195,1),1,IF(Data!AI140&lt;=MEDIAN(Data!AI$4:AI$195),2,IF(Data!AI140&lt;=QUARTILE(Data!AI$4:AI$195,3),3,4)))</f>
        <v>3</v>
      </c>
      <c r="AJ140" s="22">
        <f>IF(Data!AJ140&lt;=QUARTILE(Data!AJ$4:AJ$195,1),1,IF(Data!AJ140&lt;=MEDIAN(Data!AJ$4:AJ$195),2,IF(Data!AJ140&lt;=QUARTILE(Data!AJ$4:AJ$195,3),3,4)))</f>
        <v>3</v>
      </c>
      <c r="AK140" s="25">
        <f>IF(Data!AK140&lt;=QUARTILE(Data!AK$4:AK$195,1),1,IF(Data!AK140&lt;=MEDIAN(Data!AK$4:AK$195),2,IF(Data!AK140&lt;=QUARTILE(Data!AK$4:AK$195,3),3,4)))</f>
        <v>2</v>
      </c>
      <c r="AL140" s="28">
        <f>IF(Data!AL140&lt;=QUARTILE(Data!AL$4:AL$195,1),1,IF(Data!AL140&lt;=MEDIAN(Data!AL$4:AL$195),2,IF(Data!AL140&lt;=QUARTILE(Data!AL$4:AL$195,3),3,4)))</f>
        <v>1</v>
      </c>
      <c r="AM140" s="28">
        <f>IF(Data!AM140&lt;=QUARTILE(Data!AM$4:AM$195,1),1,IF(Data!AM140&lt;=MEDIAN(Data!AM$4:AM$195),2,IF(Data!AM140&lt;=QUARTILE(Data!AM$4:AM$195,3),3,4)))</f>
        <v>1</v>
      </c>
      <c r="AN140" s="22">
        <f>IF(Data!AN140&lt;=QUARTILE(Data!AN$4:AN$195,1),1,IF(Data!AN140&lt;=MEDIAN(Data!AN$4:AN$195),2,IF(Data!AN140&lt;=QUARTILE(Data!AN$4:AN$195,3),3,4)))</f>
        <v>1</v>
      </c>
      <c r="AO140" s="28">
        <f>IF(Data!AO140&lt;=QUARTILE(Data!AO$4:AO$195,1),1,IF(Data!AO140&lt;=MEDIAN(Data!AO$4:AO$195),2,IF(Data!AO140&lt;=QUARTILE(Data!AO$4:AO$195,3),3,4)))</f>
        <v>1</v>
      </c>
      <c r="AP140" s="28">
        <f>IF(Data!AP140&lt;=QUARTILE(Data!AP$4:AP$195,1),1,IF(Data!AP140&lt;=MEDIAN(Data!AP$4:AP$195),2,IF(Data!AP140&lt;=QUARTILE(Data!AP$4:AP$195,3),3,4)))</f>
        <v>1</v>
      </c>
      <c r="AQ140" s="28">
        <f>IF(Data!AQ140&lt;=QUARTILE(Data!AQ$4:AQ$195,1),1,IF(Data!AQ140&lt;=MEDIAN(Data!AQ$4:AQ$195),2,IF(Data!AQ140&lt;=QUARTILE(Data!AQ$4:AQ$195,3),3,4)))</f>
        <v>1</v>
      </c>
      <c r="AR140" s="28">
        <f>IF(Data!AR140&lt;=QUARTILE(Data!AR$4:AR$195,1),1,IF(Data!AR140&lt;=MEDIAN(Data!AR$4:AR$195),2,IF(Data!AR140&lt;=QUARTILE(Data!AR$4:AR$195,3),3,4)))</f>
        <v>1</v>
      </c>
      <c r="AS140" s="28">
        <f>IF(Data!AS140&lt;=QUARTILE(Data!AS$4:AS$195,1),1,IF(Data!AS140&lt;=MEDIAN(Data!AS$4:AS$195),2,IF(Data!AS140&lt;=QUARTILE(Data!AS$4:AS$195,3),3,4)))</f>
        <v>1</v>
      </c>
      <c r="AT140" s="28">
        <f>IF(Data!AT140&lt;=QUARTILE(Data!AT$4:AT$195,1),1,IF(Data!AT140&lt;=MEDIAN(Data!AT$4:AT$195),2,IF(Data!AT140&lt;=QUARTILE(Data!AT$4:AT$195,3),3,4)))</f>
        <v>3</v>
      </c>
      <c r="AU140" s="22">
        <f>IF(Data!AU140&lt;=QUARTILE(Data!AU$4:AU$195,1),1,IF(Data!AU140&lt;=MEDIAN(Data!AU$4:AU$195),2,IF(Data!AU140&lt;=QUARTILE(Data!AU$4:AU$195,3),3,4)))</f>
        <v>3</v>
      </c>
      <c r="AV140" s="25">
        <f>IF(Data!AV140&lt;=QUARTILE(Data!AV$4:AV$195,1),1,IF(Data!AV140&lt;=MEDIAN(Data!AV$4:AV$195),2,IF(Data!AV140&lt;=QUARTILE(Data!AV$4:AV$195,3),3,4)))</f>
        <v>2</v>
      </c>
      <c r="AW140" s="28">
        <f>IF(Data!AW140&lt;=QUARTILE(Data!AW$4:AW$195,1),1,IF(Data!AW140&lt;=MEDIAN(Data!AW$4:AW$195),2,IF(Data!AW140&lt;=QUARTILE(Data!AW$4:AW$195,3),3,4)))</f>
        <v>2</v>
      </c>
      <c r="AX140" s="28">
        <f>IF(Data!AX140&lt;=QUARTILE(Data!AX$4:AX$195,1),1,IF(Data!AX140&lt;=MEDIAN(Data!AX$4:AX$195),2,IF(Data!AX140&lt;=QUARTILE(Data!AX$4:AX$195,3),3,4)))</f>
        <v>2</v>
      </c>
      <c r="AY140" s="22">
        <f>IF(Data!AY140&lt;=QUARTILE(Data!AY$4:AY$195,1),1,IF(Data!AY140&lt;=MEDIAN(Data!AY$4:AY$195),2,IF(Data!AY140&lt;=QUARTILE(Data!AY$4:AY$195,3),3,4)))</f>
        <v>2</v>
      </c>
      <c r="AZ140" s="25">
        <f>IF(Data!AZ140&lt;=QUARTILE(Data!AZ$4:AZ$195,1),1,IF(Data!AZ140&lt;=MEDIAN(Data!AZ$4:AZ$195),2,IF(Data!AZ140&lt;=QUARTILE(Data!AZ$4:AZ$195,3),3,4)))</f>
        <v>2</v>
      </c>
      <c r="BA140" s="22">
        <f>IF(Data!BA140&lt;=QUARTILE(Data!BA$4:BA$195,1),1,IF(Data!BA140&lt;=MEDIAN(Data!BA$4:BA$195),2,IF(Data!BA140&lt;=QUARTILE(Data!BA$4:BA$195,3),3,4)))</f>
        <v>2</v>
      </c>
    </row>
    <row r="141" spans="1:53" x14ac:dyDescent="0.25">
      <c r="A141" s="4" t="s">
        <v>16</v>
      </c>
      <c r="B141" s="40">
        <v>2005</v>
      </c>
      <c r="C141" s="25">
        <v>13</v>
      </c>
      <c r="D141" s="28">
        <v>3</v>
      </c>
      <c r="E141" s="77" t="s">
        <v>97</v>
      </c>
      <c r="F141" s="28">
        <v>10.8</v>
      </c>
      <c r="G141" s="28">
        <v>5</v>
      </c>
      <c r="H141" s="22">
        <v>5.8</v>
      </c>
      <c r="I141" s="25">
        <f>IF(Data!I141&lt;=QUARTILE(Data!I$4:I$195,1),1,IF(Data!I141&lt;=MEDIAN(Data!I$4:I$195),2,IF(Data!I141&lt;=QUARTILE(Data!I$4:I$195,3),3,4)))</f>
        <v>4</v>
      </c>
      <c r="J141" s="28">
        <f>IF(Data!J141&lt;=QUARTILE(Data!J$4:J$195,1),1,IF(Data!J141&lt;=MEDIAN(Data!J$4:J$195),2,IF(Data!J141&lt;=QUARTILE(Data!J$4:J$195,3),3,4)))</f>
        <v>4</v>
      </c>
      <c r="K141" s="28">
        <f>IF(Data!K141&lt;=QUARTILE(Data!K$4:K$195,1),1,IF(Data!K141&lt;=MEDIAN(Data!K$4:K$195),2,IF(Data!K141&lt;=QUARTILE(Data!K$4:K$195,3),3,4)))</f>
        <v>3</v>
      </c>
      <c r="L141" s="22">
        <f>IF(Data!L141&lt;=QUARTILE(Data!L$4:L$195,1),1,IF(Data!L141&lt;=MEDIAN(Data!L$4:L$195),2,IF(Data!L141&lt;=QUARTILE(Data!L$4:L$195,3),3,4)))</f>
        <v>4</v>
      </c>
      <c r="M141" s="28">
        <f>IF(Data!M141&lt;=QUARTILE(Data!M$4:M$195,1),1,IF(Data!M141&lt;=MEDIAN(Data!M$4:M$195),2,IF(Data!M141&lt;=QUARTILE(Data!M$4:M$195,3),3,4)))</f>
        <v>1</v>
      </c>
      <c r="N141" s="28">
        <f>IF(Data!N141&lt;=QUARTILE(Data!N$4:N$195,1),1,IF(Data!N141&lt;=MEDIAN(Data!N$4:N$195),2,IF(Data!N141&lt;=QUARTILE(Data!N$4:N$195,3),3,4)))</f>
        <v>1</v>
      </c>
      <c r="O141" s="28">
        <f>IF(Data!O141&lt;=QUARTILE(Data!O$4:O$195,1),1,IF(Data!O141&lt;=MEDIAN(Data!O$4:O$195),2,IF(Data!O141&lt;=QUARTILE(Data!O$4:O$195,3),3,4)))</f>
        <v>2</v>
      </c>
      <c r="P141" s="28">
        <f>IF(Data!P141&lt;=QUARTILE(Data!P$4:P$195,1),1,IF(Data!P141&lt;=MEDIAN(Data!P$4:P$195),2,IF(Data!P141&lt;=QUARTILE(Data!P$4:P$195,3),3,4)))</f>
        <v>2</v>
      </c>
      <c r="Q141" s="28">
        <f>IF(Data!Q141&lt;=QUARTILE(Data!Q$4:Q$195,1),1,IF(Data!Q141&lt;=MEDIAN(Data!Q$4:Q$195),2,IF(Data!Q141&lt;=QUARTILE(Data!Q$4:Q$195,3),3,4)))</f>
        <v>2</v>
      </c>
      <c r="R141" s="28">
        <f>IF(Data!R141&lt;=QUARTILE(Data!R$4:R$195,1),1,IF(Data!R141&lt;=MEDIAN(Data!R$4:R$195),2,IF(Data!R141&lt;=QUARTILE(Data!R$4:R$195,3),3,4)))</f>
        <v>3</v>
      </c>
      <c r="S141" s="28">
        <f>IF(Data!S141&lt;=QUARTILE(Data!S$4:S$195,1),1,IF(Data!S141&lt;=MEDIAN(Data!S$4:S$195),2,IF(Data!S141&lt;=QUARTILE(Data!S$4:S$195,3),3,4)))</f>
        <v>1</v>
      </c>
      <c r="T141" s="22">
        <f>IF(Data!T141&lt;=QUARTILE(Data!T$4:T$195,1),1,IF(Data!T141&lt;=MEDIAN(Data!T$4:T$195),2,IF(Data!T141&lt;=QUARTILE(Data!T$4:T$195,3),3,4)))</f>
        <v>1</v>
      </c>
      <c r="U141" s="25">
        <f>IF(Data!U141&lt;=QUARTILE(Data!U$4:U$195,1),1,IF(Data!U141&lt;=MEDIAN(Data!U$4:U$195),2,IF(Data!U141&lt;=QUARTILE(Data!U$4:U$195,3),3,4)))</f>
        <v>4</v>
      </c>
      <c r="V141" s="28">
        <f>IF(Data!V141&lt;=QUARTILE(Data!V$4:V$195,1),1,IF(Data!V141&lt;=MEDIAN(Data!V$4:V$195),2,IF(Data!V141&lt;=QUARTILE(Data!V$4:V$195,3),3,4)))</f>
        <v>4</v>
      </c>
      <c r="W141" s="28">
        <f>IF(Data!W141&lt;=QUARTILE(Data!W$4:W$195,1),1,IF(Data!W141&lt;=MEDIAN(Data!W$4:W$195),2,IF(Data!W141&lt;=QUARTILE(Data!W$4:W$195,3),3,4)))</f>
        <v>4</v>
      </c>
      <c r="X141" s="22">
        <f>IF(Data!X141&lt;=QUARTILE(Data!X$4:X$195,1),1,IF(Data!X141&lt;=MEDIAN(Data!X$4:X$195),2,IF(Data!X141&lt;=QUARTILE(Data!X$4:X$195,3),3,4)))</f>
        <v>4</v>
      </c>
      <c r="Y141" s="30">
        <f>IF(Data!Y141&lt;=QUARTILE(Data!Y$4:Y$195,1),1,IF(Data!Y141&lt;=MEDIAN(Data!Y$4:Y$195),2,IF(Data!Y141&lt;=QUARTILE(Data!Y$4:Y$195,3),3,4)))</f>
        <v>1</v>
      </c>
      <c r="Z141" s="30">
        <f>IF(Data!Z141&lt;=QUARTILE(Data!Z$4:Z$195,1),1,IF(Data!Z141&lt;=MEDIAN(Data!Z$4:Z$195),2,IF(Data!Z141&lt;=QUARTILE(Data!Z$4:Z$195,3),3,4)))</f>
        <v>1</v>
      </c>
      <c r="AA141" s="25">
        <f>IF(Data!AA141&lt;=QUARTILE(Data!AA$4:AA$195,1),1,IF(Data!AA141&lt;=MEDIAN(Data!AA$4:AA$195),2,IF(Data!AA141&lt;=QUARTILE(Data!AA$4:AA$195,3),3,4)))</f>
        <v>2</v>
      </c>
      <c r="AB141" s="22">
        <f>IF(Data!AB141&lt;=QUARTILE(Data!AB$4:AB$195,1),1,IF(Data!AB141&lt;=MEDIAN(Data!AB$4:AB$195),2,IF(Data!AB141&lt;=QUARTILE(Data!AB$4:AB$195,3),3,4)))</f>
        <v>2</v>
      </c>
      <c r="AC141" s="25">
        <f>IF(Data!AC141&lt;=QUARTILE(Data!AC$4:AC$195,1),1,IF(Data!AC141&lt;=MEDIAN(Data!AC$4:AC$195),2,IF(Data!AC141&lt;=QUARTILE(Data!AC$4:AC$195,3),3,4)))</f>
        <v>1</v>
      </c>
      <c r="AD141" s="22">
        <f>IF(Data!AD141&lt;=QUARTILE(Data!AD$4:AD$195,1),1,IF(Data!AD141&lt;=MEDIAN(Data!AD$4:AD$195),2,IF(Data!AD141&lt;=QUARTILE(Data!AD$4:AD$195,3),3,4)))</f>
        <v>1</v>
      </c>
      <c r="AE141" s="28">
        <f>IF(Data!AE141&lt;=QUARTILE(Data!AE$4:AE$195,1),1,IF(Data!AE141&lt;=MEDIAN(Data!AE$4:AE$195),2,IF(Data!AE141&lt;=QUARTILE(Data!AE$4:AE$195,3),3,4)))</f>
        <v>1</v>
      </c>
      <c r="AF141" s="28">
        <f>IF(Data!AF141&lt;=QUARTILE(Data!AF$4:AF$195,1),1,IF(Data!AF141&lt;=MEDIAN(Data!AF$4:AF$195),2,IF(Data!AF141&lt;=QUARTILE(Data!AF$4:AF$195,3),3,4)))</f>
        <v>2</v>
      </c>
      <c r="AG141" s="28">
        <f>IF(Data!AG141&lt;=QUARTILE(Data!AG$4:AG$195,1),1,IF(Data!AG141&lt;=MEDIAN(Data!AG$4:AG$195),2,IF(Data!AG141&lt;=QUARTILE(Data!AG$4:AG$195,3),3,4)))</f>
        <v>4</v>
      </c>
      <c r="AH141" s="22">
        <f>IF(Data!AH141&lt;=QUARTILE(Data!AH$4:AH$195,1),1,IF(Data!AH141&lt;=MEDIAN(Data!AH$4:AH$195),2,IF(Data!AH141&lt;=QUARTILE(Data!AH$4:AH$195,3),3,4)))</f>
        <v>3</v>
      </c>
      <c r="AI141" s="25">
        <f>IF(Data!AI141&lt;=QUARTILE(Data!AI$4:AI$195,1),1,IF(Data!AI141&lt;=MEDIAN(Data!AI$4:AI$195),2,IF(Data!AI141&lt;=QUARTILE(Data!AI$4:AI$195,3),3,4)))</f>
        <v>2</v>
      </c>
      <c r="AJ141" s="22">
        <f>IF(Data!AJ141&lt;=QUARTILE(Data!AJ$4:AJ$195,1),1,IF(Data!AJ141&lt;=MEDIAN(Data!AJ$4:AJ$195),2,IF(Data!AJ141&lt;=QUARTILE(Data!AJ$4:AJ$195,3),3,4)))</f>
        <v>3</v>
      </c>
      <c r="AK141" s="25">
        <f>IF(Data!AK141&lt;=QUARTILE(Data!AK$4:AK$195,1),1,IF(Data!AK141&lt;=MEDIAN(Data!AK$4:AK$195),2,IF(Data!AK141&lt;=QUARTILE(Data!AK$4:AK$195,3),3,4)))</f>
        <v>1</v>
      </c>
      <c r="AL141" s="28">
        <f>IF(Data!AL141&lt;=QUARTILE(Data!AL$4:AL$195,1),1,IF(Data!AL141&lt;=MEDIAN(Data!AL$4:AL$195),2,IF(Data!AL141&lt;=QUARTILE(Data!AL$4:AL$195,3),3,4)))</f>
        <v>2</v>
      </c>
      <c r="AM141" s="28">
        <f>IF(Data!AM141&lt;=QUARTILE(Data!AM$4:AM$195,1),1,IF(Data!AM141&lt;=MEDIAN(Data!AM$4:AM$195),2,IF(Data!AM141&lt;=QUARTILE(Data!AM$4:AM$195,3),3,4)))</f>
        <v>2</v>
      </c>
      <c r="AN141" s="22">
        <f>IF(Data!AN141&lt;=QUARTILE(Data!AN$4:AN$195,1),1,IF(Data!AN141&lt;=MEDIAN(Data!AN$4:AN$195),2,IF(Data!AN141&lt;=QUARTILE(Data!AN$4:AN$195,3),3,4)))</f>
        <v>2</v>
      </c>
      <c r="AO141" s="28">
        <f>IF(Data!AO141&lt;=QUARTILE(Data!AO$4:AO$195,1),1,IF(Data!AO141&lt;=MEDIAN(Data!AO$4:AO$195),2,IF(Data!AO141&lt;=QUARTILE(Data!AO$4:AO$195,3),3,4)))</f>
        <v>4</v>
      </c>
      <c r="AP141" s="28">
        <f>IF(Data!AP141&lt;=QUARTILE(Data!AP$4:AP$195,1),1,IF(Data!AP141&lt;=MEDIAN(Data!AP$4:AP$195),2,IF(Data!AP141&lt;=QUARTILE(Data!AP$4:AP$195,3),3,4)))</f>
        <v>4</v>
      </c>
      <c r="AQ141" s="28">
        <f>IF(Data!AQ141&lt;=QUARTILE(Data!AQ$4:AQ$195,1),1,IF(Data!AQ141&lt;=MEDIAN(Data!AQ$4:AQ$195),2,IF(Data!AQ141&lt;=QUARTILE(Data!AQ$4:AQ$195,3),3,4)))</f>
        <v>4</v>
      </c>
      <c r="AR141" s="28">
        <f>IF(Data!AR141&lt;=QUARTILE(Data!AR$4:AR$195,1),1,IF(Data!AR141&lt;=MEDIAN(Data!AR$4:AR$195),2,IF(Data!AR141&lt;=QUARTILE(Data!AR$4:AR$195,3),3,4)))</f>
        <v>2</v>
      </c>
      <c r="AS141" s="28">
        <f>IF(Data!AS141&lt;=QUARTILE(Data!AS$4:AS$195,1),1,IF(Data!AS141&lt;=MEDIAN(Data!AS$4:AS$195),2,IF(Data!AS141&lt;=QUARTILE(Data!AS$4:AS$195,3),3,4)))</f>
        <v>3</v>
      </c>
      <c r="AT141" s="28">
        <f>IF(Data!AT141&lt;=QUARTILE(Data!AT$4:AT$195,1),1,IF(Data!AT141&lt;=MEDIAN(Data!AT$4:AT$195),2,IF(Data!AT141&lt;=QUARTILE(Data!AT$4:AT$195,3),3,4)))</f>
        <v>1</v>
      </c>
      <c r="AU141" s="22">
        <f>IF(Data!AU141&lt;=QUARTILE(Data!AU$4:AU$195,1),1,IF(Data!AU141&lt;=MEDIAN(Data!AU$4:AU$195),2,IF(Data!AU141&lt;=QUARTILE(Data!AU$4:AU$195,3),3,4)))</f>
        <v>1</v>
      </c>
      <c r="AV141" s="25">
        <f>IF(Data!AV141&lt;=QUARTILE(Data!AV$4:AV$195,1),1,IF(Data!AV141&lt;=MEDIAN(Data!AV$4:AV$195),2,IF(Data!AV141&lt;=QUARTILE(Data!AV$4:AV$195,3),3,4)))</f>
        <v>1</v>
      </c>
      <c r="AW141" s="28">
        <f>IF(Data!AW141&lt;=QUARTILE(Data!AW$4:AW$195,1),1,IF(Data!AW141&lt;=MEDIAN(Data!AW$4:AW$195),2,IF(Data!AW141&lt;=QUARTILE(Data!AW$4:AW$195,3),3,4)))</f>
        <v>1</v>
      </c>
      <c r="AX141" s="28">
        <f>IF(Data!AX141&lt;=QUARTILE(Data!AX$4:AX$195,1),1,IF(Data!AX141&lt;=MEDIAN(Data!AX$4:AX$195),2,IF(Data!AX141&lt;=QUARTILE(Data!AX$4:AX$195,3),3,4)))</f>
        <v>1</v>
      </c>
      <c r="AY141" s="22">
        <f>IF(Data!AY141&lt;=QUARTILE(Data!AY$4:AY$195,1),1,IF(Data!AY141&lt;=MEDIAN(Data!AY$4:AY$195),2,IF(Data!AY141&lt;=QUARTILE(Data!AY$4:AY$195,3),3,4)))</f>
        <v>1</v>
      </c>
      <c r="AZ141" s="25">
        <f>IF(Data!AZ141&lt;=QUARTILE(Data!AZ$4:AZ$195,1),1,IF(Data!AZ141&lt;=MEDIAN(Data!AZ$4:AZ$195),2,IF(Data!AZ141&lt;=QUARTILE(Data!AZ$4:AZ$195,3),3,4)))</f>
        <v>4</v>
      </c>
      <c r="BA141" s="22">
        <f>IF(Data!BA141&lt;=QUARTILE(Data!BA$4:BA$195,1),1,IF(Data!BA141&lt;=MEDIAN(Data!BA$4:BA$195),2,IF(Data!BA141&lt;=QUARTILE(Data!BA$4:BA$195,3),3,4)))</f>
        <v>4</v>
      </c>
    </row>
    <row r="142" spans="1:53" x14ac:dyDescent="0.25">
      <c r="A142" s="4" t="s">
        <v>26</v>
      </c>
      <c r="B142" s="40">
        <v>2005</v>
      </c>
      <c r="C142" s="25">
        <v>5</v>
      </c>
      <c r="D142" s="28">
        <v>11</v>
      </c>
      <c r="E142" s="77" t="s">
        <v>96</v>
      </c>
      <c r="F142" s="28">
        <v>-6.7</v>
      </c>
      <c r="G142" s="28">
        <v>-4.3</v>
      </c>
      <c r="H142" s="22">
        <v>-2.4</v>
      </c>
      <c r="I142" s="25">
        <f>IF(Data!I142&lt;=QUARTILE(Data!I$4:I$195,1),1,IF(Data!I142&lt;=MEDIAN(Data!I$4:I$195),2,IF(Data!I142&lt;=QUARTILE(Data!I$4:I$195,3),3,4)))</f>
        <v>1</v>
      </c>
      <c r="J142" s="28">
        <f>IF(Data!J142&lt;=QUARTILE(Data!J$4:J$195,1),1,IF(Data!J142&lt;=MEDIAN(Data!J$4:J$195),2,IF(Data!J142&lt;=QUARTILE(Data!J$4:J$195,3),3,4)))</f>
        <v>1</v>
      </c>
      <c r="K142" s="28">
        <f>IF(Data!K142&lt;=QUARTILE(Data!K$4:K$195,1),1,IF(Data!K142&lt;=MEDIAN(Data!K$4:K$195),2,IF(Data!K142&lt;=QUARTILE(Data!K$4:K$195,3),3,4)))</f>
        <v>1</v>
      </c>
      <c r="L142" s="22">
        <f>IF(Data!L142&lt;=QUARTILE(Data!L$4:L$195,1),1,IF(Data!L142&lt;=MEDIAN(Data!L$4:L$195),2,IF(Data!L142&lt;=QUARTILE(Data!L$4:L$195,3),3,4)))</f>
        <v>1</v>
      </c>
      <c r="M142" s="28">
        <f>IF(Data!M142&lt;=QUARTILE(Data!M$4:M$195,1),1,IF(Data!M142&lt;=MEDIAN(Data!M$4:M$195),2,IF(Data!M142&lt;=QUARTILE(Data!M$4:M$195,3),3,4)))</f>
        <v>2</v>
      </c>
      <c r="N142" s="28">
        <f>IF(Data!N142&lt;=QUARTILE(Data!N$4:N$195,1),1,IF(Data!N142&lt;=MEDIAN(Data!N$4:N$195),2,IF(Data!N142&lt;=QUARTILE(Data!N$4:N$195,3),3,4)))</f>
        <v>2</v>
      </c>
      <c r="O142" s="28">
        <f>IF(Data!O142&lt;=QUARTILE(Data!O$4:O$195,1),1,IF(Data!O142&lt;=MEDIAN(Data!O$4:O$195),2,IF(Data!O142&lt;=QUARTILE(Data!O$4:O$195,3),3,4)))</f>
        <v>1</v>
      </c>
      <c r="P142" s="28">
        <f>IF(Data!P142&lt;=QUARTILE(Data!P$4:P$195,1),1,IF(Data!P142&lt;=MEDIAN(Data!P$4:P$195),2,IF(Data!P142&lt;=QUARTILE(Data!P$4:P$195,3),3,4)))</f>
        <v>1</v>
      </c>
      <c r="Q142" s="28">
        <f>IF(Data!Q142&lt;=QUARTILE(Data!Q$4:Q$195,1),1,IF(Data!Q142&lt;=MEDIAN(Data!Q$4:Q$195),2,IF(Data!Q142&lt;=QUARTILE(Data!Q$4:Q$195,3),3,4)))</f>
        <v>1</v>
      </c>
      <c r="R142" s="28">
        <f>IF(Data!R142&lt;=QUARTILE(Data!R$4:R$195,1),1,IF(Data!R142&lt;=MEDIAN(Data!R$4:R$195),2,IF(Data!R142&lt;=QUARTILE(Data!R$4:R$195,3),3,4)))</f>
        <v>1</v>
      </c>
      <c r="S142" s="28">
        <f>IF(Data!S142&lt;=QUARTILE(Data!S$4:S$195,1),1,IF(Data!S142&lt;=MEDIAN(Data!S$4:S$195),2,IF(Data!S142&lt;=QUARTILE(Data!S$4:S$195,3),3,4)))</f>
        <v>2</v>
      </c>
      <c r="T142" s="22">
        <f>IF(Data!T142&lt;=QUARTILE(Data!T$4:T$195,1),1,IF(Data!T142&lt;=MEDIAN(Data!T$4:T$195),2,IF(Data!T142&lt;=QUARTILE(Data!T$4:T$195,3),3,4)))</f>
        <v>2</v>
      </c>
      <c r="U142" s="25">
        <f>IF(Data!U142&lt;=QUARTILE(Data!U$4:U$195,1),1,IF(Data!U142&lt;=MEDIAN(Data!U$4:U$195),2,IF(Data!U142&lt;=QUARTILE(Data!U$4:U$195,3),3,4)))</f>
        <v>1</v>
      </c>
      <c r="V142" s="28">
        <f>IF(Data!V142&lt;=QUARTILE(Data!V$4:V$195,1),1,IF(Data!V142&lt;=MEDIAN(Data!V$4:V$195),2,IF(Data!V142&lt;=QUARTILE(Data!V$4:V$195,3),3,4)))</f>
        <v>1</v>
      </c>
      <c r="W142" s="28">
        <f>IF(Data!W142&lt;=QUARTILE(Data!W$4:W$195,1),1,IF(Data!W142&lt;=MEDIAN(Data!W$4:W$195),2,IF(Data!W142&lt;=QUARTILE(Data!W$4:W$195,3),3,4)))</f>
        <v>2</v>
      </c>
      <c r="X142" s="22">
        <f>IF(Data!X142&lt;=QUARTILE(Data!X$4:X$195,1),1,IF(Data!X142&lt;=MEDIAN(Data!X$4:X$195),2,IF(Data!X142&lt;=QUARTILE(Data!X$4:X$195,3),3,4)))</f>
        <v>1</v>
      </c>
      <c r="Y142" s="30">
        <f>IF(Data!Y142&lt;=QUARTILE(Data!Y$4:Y$195,1),1,IF(Data!Y142&lt;=MEDIAN(Data!Y$4:Y$195),2,IF(Data!Y142&lt;=QUARTILE(Data!Y$4:Y$195,3),3,4)))</f>
        <v>3</v>
      </c>
      <c r="Z142" s="30">
        <f>IF(Data!Z142&lt;=QUARTILE(Data!Z$4:Z$195,1),1,IF(Data!Z142&lt;=MEDIAN(Data!Z$4:Z$195),2,IF(Data!Z142&lt;=QUARTILE(Data!Z$4:Z$195,3),3,4)))</f>
        <v>2</v>
      </c>
      <c r="AA142" s="25">
        <f>IF(Data!AA142&lt;=QUARTILE(Data!AA$4:AA$195,1),1,IF(Data!AA142&lt;=MEDIAN(Data!AA$4:AA$195),2,IF(Data!AA142&lt;=QUARTILE(Data!AA$4:AA$195,3),3,4)))</f>
        <v>2</v>
      </c>
      <c r="AB142" s="22">
        <f>IF(Data!AB142&lt;=QUARTILE(Data!AB$4:AB$195,1),1,IF(Data!AB142&lt;=MEDIAN(Data!AB$4:AB$195),2,IF(Data!AB142&lt;=QUARTILE(Data!AB$4:AB$195,3),3,4)))</f>
        <v>2</v>
      </c>
      <c r="AC142" s="25">
        <f>IF(Data!AC142&lt;=QUARTILE(Data!AC$4:AC$195,1),1,IF(Data!AC142&lt;=MEDIAN(Data!AC$4:AC$195),2,IF(Data!AC142&lt;=QUARTILE(Data!AC$4:AC$195,3),3,4)))</f>
        <v>3</v>
      </c>
      <c r="AD142" s="22">
        <f>IF(Data!AD142&lt;=QUARTILE(Data!AD$4:AD$195,1),1,IF(Data!AD142&lt;=MEDIAN(Data!AD$4:AD$195),2,IF(Data!AD142&lt;=QUARTILE(Data!AD$4:AD$195,3),3,4)))</f>
        <v>3</v>
      </c>
      <c r="AE142" s="28">
        <f>IF(Data!AE142&lt;=QUARTILE(Data!AE$4:AE$195,1),1,IF(Data!AE142&lt;=MEDIAN(Data!AE$4:AE$195),2,IF(Data!AE142&lt;=QUARTILE(Data!AE$4:AE$195,3),3,4)))</f>
        <v>1</v>
      </c>
      <c r="AF142" s="28">
        <f>IF(Data!AF142&lt;=QUARTILE(Data!AF$4:AF$195,1),1,IF(Data!AF142&lt;=MEDIAN(Data!AF$4:AF$195),2,IF(Data!AF142&lt;=QUARTILE(Data!AF$4:AF$195,3),3,4)))</f>
        <v>1</v>
      </c>
      <c r="AG142" s="28">
        <f>IF(Data!AG142&lt;=QUARTILE(Data!AG$4:AG$195,1),1,IF(Data!AG142&lt;=MEDIAN(Data!AG$4:AG$195),2,IF(Data!AG142&lt;=QUARTILE(Data!AG$4:AG$195,3),3,4)))</f>
        <v>2</v>
      </c>
      <c r="AH142" s="22">
        <f>IF(Data!AH142&lt;=QUARTILE(Data!AH$4:AH$195,1),1,IF(Data!AH142&lt;=MEDIAN(Data!AH$4:AH$195),2,IF(Data!AH142&lt;=QUARTILE(Data!AH$4:AH$195,3),3,4)))</f>
        <v>1</v>
      </c>
      <c r="AI142" s="25">
        <f>IF(Data!AI142&lt;=QUARTILE(Data!AI$4:AI$195,1),1,IF(Data!AI142&lt;=MEDIAN(Data!AI$4:AI$195),2,IF(Data!AI142&lt;=QUARTILE(Data!AI$4:AI$195,3),3,4)))</f>
        <v>3</v>
      </c>
      <c r="AJ142" s="22">
        <f>IF(Data!AJ142&lt;=QUARTILE(Data!AJ$4:AJ$195,1),1,IF(Data!AJ142&lt;=MEDIAN(Data!AJ$4:AJ$195),2,IF(Data!AJ142&lt;=QUARTILE(Data!AJ$4:AJ$195,3),3,4)))</f>
        <v>4</v>
      </c>
      <c r="AK142" s="25">
        <f>IF(Data!AK142&lt;=QUARTILE(Data!AK$4:AK$195,1),1,IF(Data!AK142&lt;=MEDIAN(Data!AK$4:AK$195),2,IF(Data!AK142&lt;=QUARTILE(Data!AK$4:AK$195,3),3,4)))</f>
        <v>3</v>
      </c>
      <c r="AL142" s="28">
        <f>IF(Data!AL142&lt;=QUARTILE(Data!AL$4:AL$195,1),1,IF(Data!AL142&lt;=MEDIAN(Data!AL$4:AL$195),2,IF(Data!AL142&lt;=QUARTILE(Data!AL$4:AL$195,3),3,4)))</f>
        <v>2</v>
      </c>
      <c r="AM142" s="28">
        <f>IF(Data!AM142&lt;=QUARTILE(Data!AM$4:AM$195,1),1,IF(Data!AM142&lt;=MEDIAN(Data!AM$4:AM$195),2,IF(Data!AM142&lt;=QUARTILE(Data!AM$4:AM$195,3),3,4)))</f>
        <v>3</v>
      </c>
      <c r="AN142" s="22">
        <f>IF(Data!AN142&lt;=QUARTILE(Data!AN$4:AN$195,1),1,IF(Data!AN142&lt;=MEDIAN(Data!AN$4:AN$195),2,IF(Data!AN142&lt;=QUARTILE(Data!AN$4:AN$195,3),3,4)))</f>
        <v>3</v>
      </c>
      <c r="AO142" s="28">
        <f>IF(Data!AO142&lt;=QUARTILE(Data!AO$4:AO$195,1),1,IF(Data!AO142&lt;=MEDIAN(Data!AO$4:AO$195),2,IF(Data!AO142&lt;=QUARTILE(Data!AO$4:AO$195,3),3,4)))</f>
        <v>2</v>
      </c>
      <c r="AP142" s="28">
        <f>IF(Data!AP142&lt;=QUARTILE(Data!AP$4:AP$195,1),1,IF(Data!AP142&lt;=MEDIAN(Data!AP$4:AP$195),2,IF(Data!AP142&lt;=QUARTILE(Data!AP$4:AP$195,3),3,4)))</f>
        <v>1</v>
      </c>
      <c r="AQ142" s="28">
        <f>IF(Data!AQ142&lt;=QUARTILE(Data!AQ$4:AQ$195,1),1,IF(Data!AQ142&lt;=MEDIAN(Data!AQ$4:AQ$195),2,IF(Data!AQ142&lt;=QUARTILE(Data!AQ$4:AQ$195,3),3,4)))</f>
        <v>2</v>
      </c>
      <c r="AR142" s="28">
        <f>IF(Data!AR142&lt;=QUARTILE(Data!AR$4:AR$195,1),1,IF(Data!AR142&lt;=MEDIAN(Data!AR$4:AR$195),2,IF(Data!AR142&lt;=QUARTILE(Data!AR$4:AR$195,3),3,4)))</f>
        <v>2</v>
      </c>
      <c r="AS142" s="28">
        <f>IF(Data!AS142&lt;=QUARTILE(Data!AS$4:AS$195,1),1,IF(Data!AS142&lt;=MEDIAN(Data!AS$4:AS$195),2,IF(Data!AS142&lt;=QUARTILE(Data!AS$4:AS$195,3),3,4)))</f>
        <v>2</v>
      </c>
      <c r="AT142" s="28">
        <f>IF(Data!AT142&lt;=QUARTILE(Data!AT$4:AT$195,1),1,IF(Data!AT142&lt;=MEDIAN(Data!AT$4:AT$195),2,IF(Data!AT142&lt;=QUARTILE(Data!AT$4:AT$195,3),3,4)))</f>
        <v>2</v>
      </c>
      <c r="AU142" s="22">
        <f>IF(Data!AU142&lt;=QUARTILE(Data!AU$4:AU$195,1),1,IF(Data!AU142&lt;=MEDIAN(Data!AU$4:AU$195),2,IF(Data!AU142&lt;=QUARTILE(Data!AU$4:AU$195,3),3,4)))</f>
        <v>1</v>
      </c>
      <c r="AV142" s="25">
        <f>IF(Data!AV142&lt;=QUARTILE(Data!AV$4:AV$195,1),1,IF(Data!AV142&lt;=MEDIAN(Data!AV$4:AV$195),2,IF(Data!AV142&lt;=QUARTILE(Data!AV$4:AV$195,3),3,4)))</f>
        <v>4</v>
      </c>
      <c r="AW142" s="28">
        <f>IF(Data!AW142&lt;=QUARTILE(Data!AW$4:AW$195,1),1,IF(Data!AW142&lt;=MEDIAN(Data!AW$4:AW$195),2,IF(Data!AW142&lt;=QUARTILE(Data!AW$4:AW$195,3),3,4)))</f>
        <v>4</v>
      </c>
      <c r="AX142" s="28">
        <f>IF(Data!AX142&lt;=QUARTILE(Data!AX$4:AX$195,1),1,IF(Data!AX142&lt;=MEDIAN(Data!AX$4:AX$195),2,IF(Data!AX142&lt;=QUARTILE(Data!AX$4:AX$195,3),3,4)))</f>
        <v>3</v>
      </c>
      <c r="AY142" s="22">
        <f>IF(Data!AY142&lt;=QUARTILE(Data!AY$4:AY$195,1),1,IF(Data!AY142&lt;=MEDIAN(Data!AY$4:AY$195),2,IF(Data!AY142&lt;=QUARTILE(Data!AY$4:AY$195,3),3,4)))</f>
        <v>3</v>
      </c>
      <c r="AZ142" s="25">
        <f>IF(Data!AZ142&lt;=QUARTILE(Data!AZ$4:AZ$195,1),1,IF(Data!AZ142&lt;=MEDIAN(Data!AZ$4:AZ$195),2,IF(Data!AZ142&lt;=QUARTILE(Data!AZ$4:AZ$195,3),3,4)))</f>
        <v>3</v>
      </c>
      <c r="BA142" s="22">
        <f>IF(Data!BA142&lt;=QUARTILE(Data!BA$4:BA$195,1),1,IF(Data!BA142&lt;=MEDIAN(Data!BA$4:BA$195),2,IF(Data!BA142&lt;=QUARTILE(Data!BA$4:BA$195,3),3,4)))</f>
        <v>3</v>
      </c>
    </row>
    <row r="143" spans="1:53" x14ac:dyDescent="0.25">
      <c r="A143" s="4" t="s">
        <v>24</v>
      </c>
      <c r="B143" s="40">
        <v>2005</v>
      </c>
      <c r="C143" s="25">
        <v>4</v>
      </c>
      <c r="D143" s="28">
        <v>12</v>
      </c>
      <c r="E143" s="77" t="s">
        <v>96</v>
      </c>
      <c r="F143" s="28">
        <v>-3.7</v>
      </c>
      <c r="G143" s="28">
        <v>-1.5</v>
      </c>
      <c r="H143" s="22">
        <v>-2.2000000000000002</v>
      </c>
      <c r="I143" s="25">
        <f>IF(Data!I143&lt;=QUARTILE(Data!I$4:I$195,1),1,IF(Data!I143&lt;=MEDIAN(Data!I$4:I$195),2,IF(Data!I143&lt;=QUARTILE(Data!I$4:I$195,3),3,4)))</f>
        <v>2</v>
      </c>
      <c r="J143" s="28">
        <f>IF(Data!J143&lt;=QUARTILE(Data!J$4:J$195,1),1,IF(Data!J143&lt;=MEDIAN(Data!J$4:J$195),2,IF(Data!J143&lt;=QUARTILE(Data!J$4:J$195,3),3,4)))</f>
        <v>2</v>
      </c>
      <c r="K143" s="28">
        <f>IF(Data!K143&lt;=QUARTILE(Data!K$4:K$195,1),1,IF(Data!K143&lt;=MEDIAN(Data!K$4:K$195),2,IF(Data!K143&lt;=QUARTILE(Data!K$4:K$195,3),3,4)))</f>
        <v>4</v>
      </c>
      <c r="L143" s="22">
        <f>IF(Data!L143&lt;=QUARTILE(Data!L$4:L$195,1),1,IF(Data!L143&lt;=MEDIAN(Data!L$4:L$195),2,IF(Data!L143&lt;=QUARTILE(Data!L$4:L$195,3),3,4)))</f>
        <v>3</v>
      </c>
      <c r="M143" s="28">
        <f>IF(Data!M143&lt;=QUARTILE(Data!M$4:M$195,1),1,IF(Data!M143&lt;=MEDIAN(Data!M$4:M$195),2,IF(Data!M143&lt;=QUARTILE(Data!M$4:M$195,3),3,4)))</f>
        <v>4</v>
      </c>
      <c r="N143" s="28">
        <f>IF(Data!N143&lt;=QUARTILE(Data!N$4:N$195,1),1,IF(Data!N143&lt;=MEDIAN(Data!N$4:N$195),2,IF(Data!N143&lt;=QUARTILE(Data!N$4:N$195,3),3,4)))</f>
        <v>4</v>
      </c>
      <c r="O143" s="28">
        <f>IF(Data!O143&lt;=QUARTILE(Data!O$4:O$195,1),1,IF(Data!O143&lt;=MEDIAN(Data!O$4:O$195),2,IF(Data!O143&lt;=QUARTILE(Data!O$4:O$195,3),3,4)))</f>
        <v>3</v>
      </c>
      <c r="P143" s="28">
        <f>IF(Data!P143&lt;=QUARTILE(Data!P$4:P$195,1),1,IF(Data!P143&lt;=MEDIAN(Data!P$4:P$195),2,IF(Data!P143&lt;=QUARTILE(Data!P$4:P$195,3),3,4)))</f>
        <v>2</v>
      </c>
      <c r="Q143" s="28">
        <f>IF(Data!Q143&lt;=QUARTILE(Data!Q$4:Q$195,1),1,IF(Data!Q143&lt;=MEDIAN(Data!Q$4:Q$195),2,IF(Data!Q143&lt;=QUARTILE(Data!Q$4:Q$195,3),3,4)))</f>
        <v>4</v>
      </c>
      <c r="R143" s="28">
        <f>IF(Data!R143&lt;=QUARTILE(Data!R$4:R$195,1),1,IF(Data!R143&lt;=MEDIAN(Data!R$4:R$195),2,IF(Data!R143&lt;=QUARTILE(Data!R$4:R$195,3),3,4)))</f>
        <v>1</v>
      </c>
      <c r="S143" s="28">
        <f>IF(Data!S143&lt;=QUARTILE(Data!S$4:S$195,1),1,IF(Data!S143&lt;=MEDIAN(Data!S$4:S$195),2,IF(Data!S143&lt;=QUARTILE(Data!S$4:S$195,3),3,4)))</f>
        <v>1</v>
      </c>
      <c r="T143" s="22">
        <f>IF(Data!T143&lt;=QUARTILE(Data!T$4:T$195,1),1,IF(Data!T143&lt;=MEDIAN(Data!T$4:T$195),2,IF(Data!T143&lt;=QUARTILE(Data!T$4:T$195,3),3,4)))</f>
        <v>2</v>
      </c>
      <c r="U143" s="25">
        <f>IF(Data!U143&lt;=QUARTILE(Data!U$4:U$195,1),1,IF(Data!U143&lt;=MEDIAN(Data!U$4:U$195),2,IF(Data!U143&lt;=QUARTILE(Data!U$4:U$195,3),3,4)))</f>
        <v>1</v>
      </c>
      <c r="V143" s="28">
        <f>IF(Data!V143&lt;=QUARTILE(Data!V$4:V$195,1),1,IF(Data!V143&lt;=MEDIAN(Data!V$4:V$195),2,IF(Data!V143&lt;=QUARTILE(Data!V$4:V$195,3),3,4)))</f>
        <v>1</v>
      </c>
      <c r="W143" s="28">
        <f>IF(Data!W143&lt;=QUARTILE(Data!W$4:W$195,1),1,IF(Data!W143&lt;=MEDIAN(Data!W$4:W$195),2,IF(Data!W143&lt;=QUARTILE(Data!W$4:W$195,3),3,4)))</f>
        <v>2</v>
      </c>
      <c r="X143" s="22">
        <f>IF(Data!X143&lt;=QUARTILE(Data!X$4:X$195,1),1,IF(Data!X143&lt;=MEDIAN(Data!X$4:X$195),2,IF(Data!X143&lt;=QUARTILE(Data!X$4:X$195,3),3,4)))</f>
        <v>1</v>
      </c>
      <c r="Y143" s="30">
        <f>IF(Data!Y143&lt;=QUARTILE(Data!Y$4:Y$195,1),1,IF(Data!Y143&lt;=MEDIAN(Data!Y$4:Y$195),2,IF(Data!Y143&lt;=QUARTILE(Data!Y$4:Y$195,3),3,4)))</f>
        <v>4</v>
      </c>
      <c r="Z143" s="30">
        <f>IF(Data!Z143&lt;=QUARTILE(Data!Z$4:Z$195,1),1,IF(Data!Z143&lt;=MEDIAN(Data!Z$4:Z$195),2,IF(Data!Z143&lt;=QUARTILE(Data!Z$4:Z$195,3),3,4)))</f>
        <v>3</v>
      </c>
      <c r="AA143" s="25">
        <f>IF(Data!AA143&lt;=QUARTILE(Data!AA$4:AA$195,1),1,IF(Data!AA143&lt;=MEDIAN(Data!AA$4:AA$195),2,IF(Data!AA143&lt;=QUARTILE(Data!AA$4:AA$195,3),3,4)))</f>
        <v>4</v>
      </c>
      <c r="AB143" s="22">
        <f>IF(Data!AB143&lt;=QUARTILE(Data!AB$4:AB$195,1),1,IF(Data!AB143&lt;=MEDIAN(Data!AB$4:AB$195),2,IF(Data!AB143&lt;=QUARTILE(Data!AB$4:AB$195,3),3,4)))</f>
        <v>3</v>
      </c>
      <c r="AC143" s="25">
        <f>IF(Data!AC143&lt;=QUARTILE(Data!AC$4:AC$195,1),1,IF(Data!AC143&lt;=MEDIAN(Data!AC$4:AC$195),2,IF(Data!AC143&lt;=QUARTILE(Data!AC$4:AC$195,3),3,4)))</f>
        <v>4</v>
      </c>
      <c r="AD143" s="22">
        <f>IF(Data!AD143&lt;=QUARTILE(Data!AD$4:AD$195,1),1,IF(Data!AD143&lt;=MEDIAN(Data!AD$4:AD$195),2,IF(Data!AD143&lt;=QUARTILE(Data!AD$4:AD$195,3),3,4)))</f>
        <v>2</v>
      </c>
      <c r="AE143" s="28">
        <f>IF(Data!AE143&lt;=QUARTILE(Data!AE$4:AE$195,1),1,IF(Data!AE143&lt;=MEDIAN(Data!AE$4:AE$195),2,IF(Data!AE143&lt;=QUARTILE(Data!AE$4:AE$195,3),3,4)))</f>
        <v>2</v>
      </c>
      <c r="AF143" s="28">
        <f>IF(Data!AF143&lt;=QUARTILE(Data!AF$4:AF$195,1),1,IF(Data!AF143&lt;=MEDIAN(Data!AF$4:AF$195),2,IF(Data!AF143&lt;=QUARTILE(Data!AF$4:AF$195,3),3,4)))</f>
        <v>1</v>
      </c>
      <c r="AG143" s="28">
        <f>IF(Data!AG143&lt;=QUARTILE(Data!AG$4:AG$195,1),1,IF(Data!AG143&lt;=MEDIAN(Data!AG$4:AG$195),2,IF(Data!AG143&lt;=QUARTILE(Data!AG$4:AG$195,3),3,4)))</f>
        <v>2</v>
      </c>
      <c r="AH143" s="22">
        <f>IF(Data!AH143&lt;=QUARTILE(Data!AH$4:AH$195,1),1,IF(Data!AH143&lt;=MEDIAN(Data!AH$4:AH$195),2,IF(Data!AH143&lt;=QUARTILE(Data!AH$4:AH$195,3),3,4)))</f>
        <v>2</v>
      </c>
      <c r="AI143" s="25">
        <f>IF(Data!AI143&lt;=QUARTILE(Data!AI$4:AI$195,1),1,IF(Data!AI143&lt;=MEDIAN(Data!AI$4:AI$195),2,IF(Data!AI143&lt;=QUARTILE(Data!AI$4:AI$195,3),3,4)))</f>
        <v>2</v>
      </c>
      <c r="AJ143" s="22">
        <f>IF(Data!AJ143&lt;=QUARTILE(Data!AJ$4:AJ$195,1),1,IF(Data!AJ143&lt;=MEDIAN(Data!AJ$4:AJ$195),2,IF(Data!AJ143&lt;=QUARTILE(Data!AJ$4:AJ$195,3),3,4)))</f>
        <v>2</v>
      </c>
      <c r="AK143" s="25">
        <f>IF(Data!AK143&lt;=QUARTILE(Data!AK$4:AK$195,1),1,IF(Data!AK143&lt;=MEDIAN(Data!AK$4:AK$195),2,IF(Data!AK143&lt;=QUARTILE(Data!AK$4:AK$195,3),3,4)))</f>
        <v>3</v>
      </c>
      <c r="AL143" s="28">
        <f>IF(Data!AL143&lt;=QUARTILE(Data!AL$4:AL$195,1),1,IF(Data!AL143&lt;=MEDIAN(Data!AL$4:AL$195),2,IF(Data!AL143&lt;=QUARTILE(Data!AL$4:AL$195,3),3,4)))</f>
        <v>1</v>
      </c>
      <c r="AM143" s="28">
        <f>IF(Data!AM143&lt;=QUARTILE(Data!AM$4:AM$195,1),1,IF(Data!AM143&lt;=MEDIAN(Data!AM$4:AM$195),2,IF(Data!AM143&lt;=QUARTILE(Data!AM$4:AM$195,3),3,4)))</f>
        <v>1</v>
      </c>
      <c r="AN143" s="22">
        <f>IF(Data!AN143&lt;=QUARTILE(Data!AN$4:AN$195,1),1,IF(Data!AN143&lt;=MEDIAN(Data!AN$4:AN$195),2,IF(Data!AN143&lt;=QUARTILE(Data!AN$4:AN$195,3),3,4)))</f>
        <v>2</v>
      </c>
      <c r="AO143" s="28">
        <f>IF(Data!AO143&lt;=QUARTILE(Data!AO$4:AO$195,1),1,IF(Data!AO143&lt;=MEDIAN(Data!AO$4:AO$195),2,IF(Data!AO143&lt;=QUARTILE(Data!AO$4:AO$195,3),3,4)))</f>
        <v>1</v>
      </c>
      <c r="AP143" s="28">
        <f>IF(Data!AP143&lt;=QUARTILE(Data!AP$4:AP$195,1),1,IF(Data!AP143&lt;=MEDIAN(Data!AP$4:AP$195),2,IF(Data!AP143&lt;=QUARTILE(Data!AP$4:AP$195,3),3,4)))</f>
        <v>1</v>
      </c>
      <c r="AQ143" s="28">
        <f>IF(Data!AQ143&lt;=QUARTILE(Data!AQ$4:AQ$195,1),1,IF(Data!AQ143&lt;=MEDIAN(Data!AQ$4:AQ$195),2,IF(Data!AQ143&lt;=QUARTILE(Data!AQ$4:AQ$195,3),3,4)))</f>
        <v>1</v>
      </c>
      <c r="AR143" s="28">
        <f>IF(Data!AR143&lt;=QUARTILE(Data!AR$4:AR$195,1),1,IF(Data!AR143&lt;=MEDIAN(Data!AR$4:AR$195),2,IF(Data!AR143&lt;=QUARTILE(Data!AR$4:AR$195,3),3,4)))</f>
        <v>3</v>
      </c>
      <c r="AS143" s="28">
        <f>IF(Data!AS143&lt;=QUARTILE(Data!AS$4:AS$195,1),1,IF(Data!AS143&lt;=MEDIAN(Data!AS$4:AS$195),2,IF(Data!AS143&lt;=QUARTILE(Data!AS$4:AS$195,3),3,4)))</f>
        <v>1</v>
      </c>
      <c r="AT143" s="28">
        <f>IF(Data!AT143&lt;=QUARTILE(Data!AT$4:AT$195,1),1,IF(Data!AT143&lt;=MEDIAN(Data!AT$4:AT$195),2,IF(Data!AT143&lt;=QUARTILE(Data!AT$4:AT$195,3),3,4)))</f>
        <v>2</v>
      </c>
      <c r="AU143" s="22">
        <f>IF(Data!AU143&lt;=QUARTILE(Data!AU$4:AU$195,1),1,IF(Data!AU143&lt;=MEDIAN(Data!AU$4:AU$195),2,IF(Data!AU143&lt;=QUARTILE(Data!AU$4:AU$195,3),3,4)))</f>
        <v>2</v>
      </c>
      <c r="AV143" s="25">
        <f>IF(Data!AV143&lt;=QUARTILE(Data!AV$4:AV$195,1),1,IF(Data!AV143&lt;=MEDIAN(Data!AV$4:AV$195),2,IF(Data!AV143&lt;=QUARTILE(Data!AV$4:AV$195,3),3,4)))</f>
        <v>4</v>
      </c>
      <c r="AW143" s="28">
        <f>IF(Data!AW143&lt;=QUARTILE(Data!AW$4:AW$195,1),1,IF(Data!AW143&lt;=MEDIAN(Data!AW$4:AW$195),2,IF(Data!AW143&lt;=QUARTILE(Data!AW$4:AW$195,3),3,4)))</f>
        <v>3</v>
      </c>
      <c r="AX143" s="28">
        <f>IF(Data!AX143&lt;=QUARTILE(Data!AX$4:AX$195,1),1,IF(Data!AX143&lt;=MEDIAN(Data!AX$4:AX$195),2,IF(Data!AX143&lt;=QUARTILE(Data!AX$4:AX$195,3),3,4)))</f>
        <v>1</v>
      </c>
      <c r="AY143" s="22">
        <f>IF(Data!AY143&lt;=QUARTILE(Data!AY$4:AY$195,1),1,IF(Data!AY143&lt;=MEDIAN(Data!AY$4:AY$195),2,IF(Data!AY143&lt;=QUARTILE(Data!AY$4:AY$195,3),3,4)))</f>
        <v>3</v>
      </c>
      <c r="AZ143" s="25">
        <f>IF(Data!AZ143&lt;=QUARTILE(Data!AZ$4:AZ$195,1),1,IF(Data!AZ143&lt;=MEDIAN(Data!AZ$4:AZ$195),2,IF(Data!AZ143&lt;=QUARTILE(Data!AZ$4:AZ$195,3),3,4)))</f>
        <v>1</v>
      </c>
      <c r="BA143" s="22">
        <f>IF(Data!BA143&lt;=QUARTILE(Data!BA$4:BA$195,1),1,IF(Data!BA143&lt;=MEDIAN(Data!BA$4:BA$195),2,IF(Data!BA143&lt;=QUARTILE(Data!BA$4:BA$195,3),3,4)))</f>
        <v>2</v>
      </c>
    </row>
    <row r="144" spans="1:53" x14ac:dyDescent="0.25">
      <c r="A144" s="4" t="s">
        <v>12</v>
      </c>
      <c r="B144" s="40">
        <v>2005</v>
      </c>
      <c r="C144" s="25">
        <v>2</v>
      </c>
      <c r="D144" s="28">
        <v>14</v>
      </c>
      <c r="E144" s="77" t="s">
        <v>96</v>
      </c>
      <c r="F144" s="28">
        <v>-10</v>
      </c>
      <c r="G144" s="28">
        <v>-4.4000000000000004</v>
      </c>
      <c r="H144" s="22">
        <v>-5.7</v>
      </c>
      <c r="I144" s="25">
        <f>IF(Data!I144&lt;=QUARTILE(Data!I$4:I$195,1),1,IF(Data!I144&lt;=MEDIAN(Data!I$4:I$195),2,IF(Data!I144&lt;=QUARTILE(Data!I$4:I$195,3),3,4)))</f>
        <v>1</v>
      </c>
      <c r="J144" s="28">
        <f>IF(Data!J144&lt;=QUARTILE(Data!J$4:J$195,1),1,IF(Data!J144&lt;=MEDIAN(Data!J$4:J$195),2,IF(Data!J144&lt;=QUARTILE(Data!J$4:J$195,3),3,4)))</f>
        <v>1</v>
      </c>
      <c r="K144" s="28">
        <f>IF(Data!K144&lt;=QUARTILE(Data!K$4:K$195,1),1,IF(Data!K144&lt;=MEDIAN(Data!K$4:K$195),2,IF(Data!K144&lt;=QUARTILE(Data!K$4:K$195,3),3,4)))</f>
        <v>1</v>
      </c>
      <c r="L144" s="22">
        <f>IF(Data!L144&lt;=QUARTILE(Data!L$4:L$195,1),1,IF(Data!L144&lt;=MEDIAN(Data!L$4:L$195),2,IF(Data!L144&lt;=QUARTILE(Data!L$4:L$195,3),3,4)))</f>
        <v>1</v>
      </c>
      <c r="M144" s="28">
        <f>IF(Data!M144&lt;=QUARTILE(Data!M$4:M$195,1),1,IF(Data!M144&lt;=MEDIAN(Data!M$4:M$195),2,IF(Data!M144&lt;=QUARTILE(Data!M$4:M$195,3),3,4)))</f>
        <v>1</v>
      </c>
      <c r="N144" s="28">
        <f>IF(Data!N144&lt;=QUARTILE(Data!N$4:N$195,1),1,IF(Data!N144&lt;=MEDIAN(Data!N$4:N$195),2,IF(Data!N144&lt;=QUARTILE(Data!N$4:N$195,3),3,4)))</f>
        <v>1</v>
      </c>
      <c r="O144" s="28">
        <f>IF(Data!O144&lt;=QUARTILE(Data!O$4:O$195,1),1,IF(Data!O144&lt;=MEDIAN(Data!O$4:O$195),2,IF(Data!O144&lt;=QUARTILE(Data!O$4:O$195,3),3,4)))</f>
        <v>1</v>
      </c>
      <c r="P144" s="28">
        <f>IF(Data!P144&lt;=QUARTILE(Data!P$4:P$195,1),1,IF(Data!P144&lt;=MEDIAN(Data!P$4:P$195),2,IF(Data!P144&lt;=QUARTILE(Data!P$4:P$195,3),3,4)))</f>
        <v>1</v>
      </c>
      <c r="Q144" s="28">
        <f>IF(Data!Q144&lt;=QUARTILE(Data!Q$4:Q$195,1),1,IF(Data!Q144&lt;=MEDIAN(Data!Q$4:Q$195),2,IF(Data!Q144&lt;=QUARTILE(Data!Q$4:Q$195,3),3,4)))</f>
        <v>1</v>
      </c>
      <c r="R144" s="28">
        <f>IF(Data!R144&lt;=QUARTILE(Data!R$4:R$195,1),1,IF(Data!R144&lt;=MEDIAN(Data!R$4:R$195),2,IF(Data!R144&lt;=QUARTILE(Data!R$4:R$195,3),3,4)))</f>
        <v>2</v>
      </c>
      <c r="S144" s="28">
        <f>IF(Data!S144&lt;=QUARTILE(Data!S$4:S$195,1),1,IF(Data!S144&lt;=MEDIAN(Data!S$4:S$195),2,IF(Data!S144&lt;=QUARTILE(Data!S$4:S$195,3),3,4)))</f>
        <v>4</v>
      </c>
      <c r="T144" s="22">
        <f>IF(Data!T144&lt;=QUARTILE(Data!T$4:T$195,1),1,IF(Data!T144&lt;=MEDIAN(Data!T$4:T$195),2,IF(Data!T144&lt;=QUARTILE(Data!T$4:T$195,3),3,4)))</f>
        <v>4</v>
      </c>
      <c r="U144" s="25">
        <f>IF(Data!U144&lt;=QUARTILE(Data!U$4:U$195,1),1,IF(Data!U144&lt;=MEDIAN(Data!U$4:U$195),2,IF(Data!U144&lt;=QUARTILE(Data!U$4:U$195,3),3,4)))</f>
        <v>2</v>
      </c>
      <c r="V144" s="28">
        <f>IF(Data!V144&lt;=QUARTILE(Data!V$4:V$195,1),1,IF(Data!V144&lt;=MEDIAN(Data!V$4:V$195),2,IF(Data!V144&lt;=QUARTILE(Data!V$4:V$195,3),3,4)))</f>
        <v>3</v>
      </c>
      <c r="W144" s="28">
        <f>IF(Data!W144&lt;=QUARTILE(Data!W$4:W$195,1),1,IF(Data!W144&lt;=MEDIAN(Data!W$4:W$195),2,IF(Data!W144&lt;=QUARTILE(Data!W$4:W$195,3),3,4)))</f>
        <v>1</v>
      </c>
      <c r="X144" s="22">
        <f>IF(Data!X144&lt;=QUARTILE(Data!X$4:X$195,1),1,IF(Data!X144&lt;=MEDIAN(Data!X$4:X$195),2,IF(Data!X144&lt;=QUARTILE(Data!X$4:X$195,3),3,4)))</f>
        <v>2</v>
      </c>
      <c r="Y144" s="30">
        <f>IF(Data!Y144&lt;=QUARTILE(Data!Y$4:Y$195,1),1,IF(Data!Y144&lt;=MEDIAN(Data!Y$4:Y$195),2,IF(Data!Y144&lt;=QUARTILE(Data!Y$4:Y$195,3),3,4)))</f>
        <v>1</v>
      </c>
      <c r="Z144" s="30">
        <f>IF(Data!Z144&lt;=QUARTILE(Data!Z$4:Z$195,1),1,IF(Data!Z144&lt;=MEDIAN(Data!Z$4:Z$195),2,IF(Data!Z144&lt;=QUARTILE(Data!Z$4:Z$195,3),3,4)))</f>
        <v>2</v>
      </c>
      <c r="AA144" s="25">
        <f>IF(Data!AA144&lt;=QUARTILE(Data!AA$4:AA$195,1),1,IF(Data!AA144&lt;=MEDIAN(Data!AA$4:AA$195),2,IF(Data!AA144&lt;=QUARTILE(Data!AA$4:AA$195,3),3,4)))</f>
        <v>1</v>
      </c>
      <c r="AB144" s="22">
        <f>IF(Data!AB144&lt;=QUARTILE(Data!AB$4:AB$195,1),1,IF(Data!AB144&lt;=MEDIAN(Data!AB$4:AB$195),2,IF(Data!AB144&lt;=QUARTILE(Data!AB$4:AB$195,3),3,4)))</f>
        <v>1</v>
      </c>
      <c r="AC144" s="25">
        <f>IF(Data!AC144&lt;=QUARTILE(Data!AC$4:AC$195,1),1,IF(Data!AC144&lt;=MEDIAN(Data!AC$4:AC$195),2,IF(Data!AC144&lt;=QUARTILE(Data!AC$4:AC$195,3),3,4)))</f>
        <v>4</v>
      </c>
      <c r="AD144" s="22">
        <f>IF(Data!AD144&lt;=QUARTILE(Data!AD$4:AD$195,1),1,IF(Data!AD144&lt;=MEDIAN(Data!AD$4:AD$195),2,IF(Data!AD144&lt;=QUARTILE(Data!AD$4:AD$195,3),3,4)))</f>
        <v>4</v>
      </c>
      <c r="AE144" s="28">
        <f>IF(Data!AE144&lt;=QUARTILE(Data!AE$4:AE$195,1),1,IF(Data!AE144&lt;=MEDIAN(Data!AE$4:AE$195),2,IF(Data!AE144&lt;=QUARTILE(Data!AE$4:AE$195,3),3,4)))</f>
        <v>4</v>
      </c>
      <c r="AF144" s="28">
        <f>IF(Data!AF144&lt;=QUARTILE(Data!AF$4:AF$195,1),1,IF(Data!AF144&lt;=MEDIAN(Data!AF$4:AF$195),2,IF(Data!AF144&lt;=QUARTILE(Data!AF$4:AF$195,3),3,4)))</f>
        <v>4</v>
      </c>
      <c r="AG144" s="28">
        <f>IF(Data!AG144&lt;=QUARTILE(Data!AG$4:AG$195,1),1,IF(Data!AG144&lt;=MEDIAN(Data!AG$4:AG$195),2,IF(Data!AG144&lt;=QUARTILE(Data!AG$4:AG$195,3),3,4)))</f>
        <v>1</v>
      </c>
      <c r="AH144" s="22">
        <f>IF(Data!AH144&lt;=QUARTILE(Data!AH$4:AH$195,1),1,IF(Data!AH144&lt;=MEDIAN(Data!AH$4:AH$195),2,IF(Data!AH144&lt;=QUARTILE(Data!AH$4:AH$195,3),3,4)))</f>
        <v>1</v>
      </c>
      <c r="AI144" s="25">
        <f>IF(Data!AI144&lt;=QUARTILE(Data!AI$4:AI$195,1),1,IF(Data!AI144&lt;=MEDIAN(Data!AI$4:AI$195),2,IF(Data!AI144&lt;=QUARTILE(Data!AI$4:AI$195,3),3,4)))</f>
        <v>2</v>
      </c>
      <c r="AJ144" s="22">
        <f>IF(Data!AJ144&lt;=QUARTILE(Data!AJ$4:AJ$195,1),1,IF(Data!AJ144&lt;=MEDIAN(Data!AJ$4:AJ$195),2,IF(Data!AJ144&lt;=QUARTILE(Data!AJ$4:AJ$195,3),3,4)))</f>
        <v>2</v>
      </c>
      <c r="AK144" s="25">
        <f>IF(Data!AK144&lt;=QUARTILE(Data!AK$4:AK$195,1),1,IF(Data!AK144&lt;=MEDIAN(Data!AK$4:AK$195),2,IF(Data!AK144&lt;=QUARTILE(Data!AK$4:AK$195,3),3,4)))</f>
        <v>4</v>
      </c>
      <c r="AL144" s="28">
        <f>IF(Data!AL144&lt;=QUARTILE(Data!AL$4:AL$195,1),1,IF(Data!AL144&lt;=MEDIAN(Data!AL$4:AL$195),2,IF(Data!AL144&lt;=QUARTILE(Data!AL$4:AL$195,3),3,4)))</f>
        <v>4</v>
      </c>
      <c r="AM144" s="28">
        <f>IF(Data!AM144&lt;=QUARTILE(Data!AM$4:AM$195,1),1,IF(Data!AM144&lt;=MEDIAN(Data!AM$4:AM$195),2,IF(Data!AM144&lt;=QUARTILE(Data!AM$4:AM$195,3),3,4)))</f>
        <v>3</v>
      </c>
      <c r="AN144" s="22">
        <f>IF(Data!AN144&lt;=QUARTILE(Data!AN$4:AN$195,1),1,IF(Data!AN144&lt;=MEDIAN(Data!AN$4:AN$195),2,IF(Data!AN144&lt;=QUARTILE(Data!AN$4:AN$195,3),3,4)))</f>
        <v>4</v>
      </c>
      <c r="AO144" s="28">
        <f>IF(Data!AO144&lt;=QUARTILE(Data!AO$4:AO$195,1),1,IF(Data!AO144&lt;=MEDIAN(Data!AO$4:AO$195),2,IF(Data!AO144&lt;=QUARTILE(Data!AO$4:AO$195,3),3,4)))</f>
        <v>2</v>
      </c>
      <c r="AP144" s="28">
        <f>IF(Data!AP144&lt;=QUARTILE(Data!AP$4:AP$195,1),1,IF(Data!AP144&lt;=MEDIAN(Data!AP$4:AP$195),2,IF(Data!AP144&lt;=QUARTILE(Data!AP$4:AP$195,3),3,4)))</f>
        <v>1</v>
      </c>
      <c r="AQ144" s="28">
        <f>IF(Data!AQ144&lt;=QUARTILE(Data!AQ$4:AQ$195,1),1,IF(Data!AQ144&lt;=MEDIAN(Data!AQ$4:AQ$195),2,IF(Data!AQ144&lt;=QUARTILE(Data!AQ$4:AQ$195,3),3,4)))</f>
        <v>3</v>
      </c>
      <c r="AR144" s="28">
        <f>IF(Data!AR144&lt;=QUARTILE(Data!AR$4:AR$195,1),1,IF(Data!AR144&lt;=MEDIAN(Data!AR$4:AR$195),2,IF(Data!AR144&lt;=QUARTILE(Data!AR$4:AR$195,3),3,4)))</f>
        <v>3</v>
      </c>
      <c r="AS144" s="28">
        <f>IF(Data!AS144&lt;=QUARTILE(Data!AS$4:AS$195,1),1,IF(Data!AS144&lt;=MEDIAN(Data!AS$4:AS$195),2,IF(Data!AS144&lt;=QUARTILE(Data!AS$4:AS$195,3),3,4)))</f>
        <v>4</v>
      </c>
      <c r="AT144" s="28">
        <f>IF(Data!AT144&lt;=QUARTILE(Data!AT$4:AT$195,1),1,IF(Data!AT144&lt;=MEDIAN(Data!AT$4:AT$195),2,IF(Data!AT144&lt;=QUARTILE(Data!AT$4:AT$195,3),3,4)))</f>
        <v>3</v>
      </c>
      <c r="AU144" s="22">
        <f>IF(Data!AU144&lt;=QUARTILE(Data!AU$4:AU$195,1),1,IF(Data!AU144&lt;=MEDIAN(Data!AU$4:AU$195),2,IF(Data!AU144&lt;=QUARTILE(Data!AU$4:AU$195,3),3,4)))</f>
        <v>2</v>
      </c>
      <c r="AV144" s="25">
        <f>IF(Data!AV144&lt;=QUARTILE(Data!AV$4:AV$195,1),1,IF(Data!AV144&lt;=MEDIAN(Data!AV$4:AV$195),2,IF(Data!AV144&lt;=QUARTILE(Data!AV$4:AV$195,3),3,4)))</f>
        <v>4</v>
      </c>
      <c r="AW144" s="28">
        <f>IF(Data!AW144&lt;=QUARTILE(Data!AW$4:AW$195,1),1,IF(Data!AW144&lt;=MEDIAN(Data!AW$4:AW$195),2,IF(Data!AW144&lt;=QUARTILE(Data!AW$4:AW$195,3),3,4)))</f>
        <v>4</v>
      </c>
      <c r="AX144" s="28">
        <f>IF(Data!AX144&lt;=QUARTILE(Data!AX$4:AX$195,1),1,IF(Data!AX144&lt;=MEDIAN(Data!AX$4:AX$195),2,IF(Data!AX144&lt;=QUARTILE(Data!AX$4:AX$195,3),3,4)))</f>
        <v>4</v>
      </c>
      <c r="AY144" s="22">
        <f>IF(Data!AY144&lt;=QUARTILE(Data!AY$4:AY$195,1),1,IF(Data!AY144&lt;=MEDIAN(Data!AY$4:AY$195),2,IF(Data!AY144&lt;=QUARTILE(Data!AY$4:AY$195,3),3,4)))</f>
        <v>4</v>
      </c>
      <c r="AZ144" s="25">
        <f>IF(Data!AZ144&lt;=QUARTILE(Data!AZ$4:AZ$195,1),1,IF(Data!AZ144&lt;=MEDIAN(Data!AZ$4:AZ$195),2,IF(Data!AZ144&lt;=QUARTILE(Data!AZ$4:AZ$195,3),3,4)))</f>
        <v>1</v>
      </c>
      <c r="BA144" s="22">
        <f>IF(Data!BA144&lt;=QUARTILE(Data!BA$4:BA$195,1),1,IF(Data!BA144&lt;=MEDIAN(Data!BA$4:BA$195),2,IF(Data!BA144&lt;=QUARTILE(Data!BA$4:BA$195,3),3,4)))</f>
        <v>1</v>
      </c>
    </row>
    <row r="145" spans="1:53" x14ac:dyDescent="0.25">
      <c r="A145" s="4" t="s">
        <v>11</v>
      </c>
      <c r="B145" s="40">
        <v>2005</v>
      </c>
      <c r="C145" s="25">
        <v>14</v>
      </c>
      <c r="D145" s="28">
        <v>2</v>
      </c>
      <c r="E145" s="77" t="s">
        <v>97</v>
      </c>
      <c r="F145" s="28">
        <v>10.8</v>
      </c>
      <c r="G145" s="28">
        <v>5.6</v>
      </c>
      <c r="H145" s="22">
        <v>5.2</v>
      </c>
      <c r="I145" s="25">
        <f>IF(Data!I145&lt;=QUARTILE(Data!I$4:I$195,1),1,IF(Data!I145&lt;=MEDIAN(Data!I$4:I$195),2,IF(Data!I145&lt;=QUARTILE(Data!I$4:I$195,3),3,4)))</f>
        <v>4</v>
      </c>
      <c r="J145" s="28">
        <f>IF(Data!J145&lt;=QUARTILE(Data!J$4:J$195,1),1,IF(Data!J145&lt;=MEDIAN(Data!J$4:J$195),2,IF(Data!J145&lt;=QUARTILE(Data!J$4:J$195,3),3,4)))</f>
        <v>4</v>
      </c>
      <c r="K145" s="28">
        <f>IF(Data!K145&lt;=QUARTILE(Data!K$4:K$195,1),1,IF(Data!K145&lt;=MEDIAN(Data!K$4:K$195),2,IF(Data!K145&lt;=QUARTILE(Data!K$4:K$195,3),3,4)))</f>
        <v>2</v>
      </c>
      <c r="L145" s="22">
        <f>IF(Data!L145&lt;=QUARTILE(Data!L$4:L$195,1),1,IF(Data!L145&lt;=MEDIAN(Data!L$4:L$195),2,IF(Data!L145&lt;=QUARTILE(Data!L$4:L$195,3),3,4)))</f>
        <v>4</v>
      </c>
      <c r="M145" s="28">
        <f>IF(Data!M145&lt;=QUARTILE(Data!M$4:M$195,1),1,IF(Data!M145&lt;=MEDIAN(Data!M$4:M$195),2,IF(Data!M145&lt;=QUARTILE(Data!M$4:M$195,3),3,4)))</f>
        <v>4</v>
      </c>
      <c r="N145" s="28">
        <f>IF(Data!N145&lt;=QUARTILE(Data!N$4:N$195,1),1,IF(Data!N145&lt;=MEDIAN(Data!N$4:N$195),2,IF(Data!N145&lt;=QUARTILE(Data!N$4:N$195,3),3,4)))</f>
        <v>2</v>
      </c>
      <c r="O145" s="28">
        <f>IF(Data!O145&lt;=QUARTILE(Data!O$4:O$195,1),1,IF(Data!O145&lt;=MEDIAN(Data!O$4:O$195),2,IF(Data!O145&lt;=QUARTILE(Data!O$4:O$195,3),3,4)))</f>
        <v>4</v>
      </c>
      <c r="P145" s="28">
        <f>IF(Data!P145&lt;=QUARTILE(Data!P$4:P$195,1),1,IF(Data!P145&lt;=MEDIAN(Data!P$4:P$195),2,IF(Data!P145&lt;=QUARTILE(Data!P$4:P$195,3),3,4)))</f>
        <v>4</v>
      </c>
      <c r="Q145" s="28">
        <f>IF(Data!Q145&lt;=QUARTILE(Data!Q$4:Q$195,1),1,IF(Data!Q145&lt;=MEDIAN(Data!Q$4:Q$195),2,IF(Data!Q145&lt;=QUARTILE(Data!Q$4:Q$195,3),3,4)))</f>
        <v>4</v>
      </c>
      <c r="R145" s="28">
        <f>IF(Data!R145&lt;=QUARTILE(Data!R$4:R$195,1),1,IF(Data!R145&lt;=MEDIAN(Data!R$4:R$195),2,IF(Data!R145&lt;=QUARTILE(Data!R$4:R$195,3),3,4)))</f>
        <v>4</v>
      </c>
      <c r="S145" s="28">
        <f>IF(Data!S145&lt;=QUARTILE(Data!S$4:S$195,1),1,IF(Data!S145&lt;=MEDIAN(Data!S$4:S$195),2,IF(Data!S145&lt;=QUARTILE(Data!S$4:S$195,3),3,4)))</f>
        <v>1</v>
      </c>
      <c r="T145" s="22">
        <f>IF(Data!T145&lt;=QUARTILE(Data!T$4:T$195,1),1,IF(Data!T145&lt;=MEDIAN(Data!T$4:T$195),2,IF(Data!T145&lt;=QUARTILE(Data!T$4:T$195,3),3,4)))</f>
        <v>1</v>
      </c>
      <c r="U145" s="25">
        <f>IF(Data!U145&lt;=QUARTILE(Data!U$4:U$195,1),1,IF(Data!U145&lt;=MEDIAN(Data!U$4:U$195),2,IF(Data!U145&lt;=QUARTILE(Data!U$4:U$195,3),3,4)))</f>
        <v>3</v>
      </c>
      <c r="V145" s="28">
        <f>IF(Data!V145&lt;=QUARTILE(Data!V$4:V$195,1),1,IF(Data!V145&lt;=MEDIAN(Data!V$4:V$195),2,IF(Data!V145&lt;=QUARTILE(Data!V$4:V$195,3),3,4)))</f>
        <v>2</v>
      </c>
      <c r="W145" s="28">
        <f>IF(Data!W145&lt;=QUARTILE(Data!W$4:W$195,1),1,IF(Data!W145&lt;=MEDIAN(Data!W$4:W$195),2,IF(Data!W145&lt;=QUARTILE(Data!W$4:W$195,3),3,4)))</f>
        <v>4</v>
      </c>
      <c r="X145" s="22">
        <f>IF(Data!X145&lt;=QUARTILE(Data!X$4:X$195,1),1,IF(Data!X145&lt;=MEDIAN(Data!X$4:X$195),2,IF(Data!X145&lt;=QUARTILE(Data!X$4:X$195,3),3,4)))</f>
        <v>4</v>
      </c>
      <c r="Y145" s="30">
        <f>IF(Data!Y145&lt;=QUARTILE(Data!Y$4:Y$195,1),1,IF(Data!Y145&lt;=MEDIAN(Data!Y$4:Y$195),2,IF(Data!Y145&lt;=QUARTILE(Data!Y$4:Y$195,3),3,4)))</f>
        <v>1</v>
      </c>
      <c r="Z145" s="30">
        <f>IF(Data!Z145&lt;=QUARTILE(Data!Z$4:Z$195,1),1,IF(Data!Z145&lt;=MEDIAN(Data!Z$4:Z$195),2,IF(Data!Z145&lt;=QUARTILE(Data!Z$4:Z$195,3),3,4)))</f>
        <v>1</v>
      </c>
      <c r="AA145" s="25">
        <f>IF(Data!AA145&lt;=QUARTILE(Data!AA$4:AA$195,1),1,IF(Data!AA145&lt;=MEDIAN(Data!AA$4:AA$195),2,IF(Data!AA145&lt;=QUARTILE(Data!AA$4:AA$195,3),3,4)))</f>
        <v>1</v>
      </c>
      <c r="AB145" s="22">
        <f>IF(Data!AB145&lt;=QUARTILE(Data!AB$4:AB$195,1),1,IF(Data!AB145&lt;=MEDIAN(Data!AB$4:AB$195),2,IF(Data!AB145&lt;=QUARTILE(Data!AB$4:AB$195,3),3,4)))</f>
        <v>1</v>
      </c>
      <c r="AC145" s="25">
        <f>IF(Data!AC145&lt;=QUARTILE(Data!AC$4:AC$195,1),1,IF(Data!AC145&lt;=MEDIAN(Data!AC$4:AC$195),2,IF(Data!AC145&lt;=QUARTILE(Data!AC$4:AC$195,3),3,4)))</f>
        <v>1</v>
      </c>
      <c r="AD145" s="22">
        <f>IF(Data!AD145&lt;=QUARTILE(Data!AD$4:AD$195,1),1,IF(Data!AD145&lt;=MEDIAN(Data!AD$4:AD$195),2,IF(Data!AD145&lt;=QUARTILE(Data!AD$4:AD$195,3),3,4)))</f>
        <v>1</v>
      </c>
      <c r="AE145" s="28">
        <f>IF(Data!AE145&lt;=QUARTILE(Data!AE$4:AE$195,1),1,IF(Data!AE145&lt;=MEDIAN(Data!AE$4:AE$195),2,IF(Data!AE145&lt;=QUARTILE(Data!AE$4:AE$195,3),3,4)))</f>
        <v>2</v>
      </c>
      <c r="AF145" s="28">
        <f>IF(Data!AF145&lt;=QUARTILE(Data!AF$4:AF$195,1),1,IF(Data!AF145&lt;=MEDIAN(Data!AF$4:AF$195),2,IF(Data!AF145&lt;=QUARTILE(Data!AF$4:AF$195,3),3,4)))</f>
        <v>2</v>
      </c>
      <c r="AG145" s="28">
        <f>IF(Data!AG145&lt;=QUARTILE(Data!AG$4:AG$195,1),1,IF(Data!AG145&lt;=MEDIAN(Data!AG$4:AG$195),2,IF(Data!AG145&lt;=QUARTILE(Data!AG$4:AG$195,3),3,4)))</f>
        <v>1</v>
      </c>
      <c r="AH145" s="22">
        <f>IF(Data!AH145&lt;=QUARTILE(Data!AH$4:AH$195,1),1,IF(Data!AH145&lt;=MEDIAN(Data!AH$4:AH$195),2,IF(Data!AH145&lt;=QUARTILE(Data!AH$4:AH$195,3),3,4)))</f>
        <v>2</v>
      </c>
      <c r="AI145" s="25">
        <f>IF(Data!AI145&lt;=QUARTILE(Data!AI$4:AI$195,1),1,IF(Data!AI145&lt;=MEDIAN(Data!AI$4:AI$195),2,IF(Data!AI145&lt;=QUARTILE(Data!AI$4:AI$195,3),3,4)))</f>
        <v>1</v>
      </c>
      <c r="AJ145" s="22">
        <f>IF(Data!AJ145&lt;=QUARTILE(Data!AJ$4:AJ$195,1),1,IF(Data!AJ145&lt;=MEDIAN(Data!AJ$4:AJ$195),2,IF(Data!AJ145&lt;=QUARTILE(Data!AJ$4:AJ$195,3),3,4)))</f>
        <v>1</v>
      </c>
      <c r="AK145" s="25">
        <f>IF(Data!AK145&lt;=QUARTILE(Data!AK$4:AK$195,1),1,IF(Data!AK145&lt;=MEDIAN(Data!AK$4:AK$195),2,IF(Data!AK145&lt;=QUARTILE(Data!AK$4:AK$195,3),3,4)))</f>
        <v>1</v>
      </c>
      <c r="AL145" s="28">
        <f>IF(Data!AL145&lt;=QUARTILE(Data!AL$4:AL$195,1),1,IF(Data!AL145&lt;=MEDIAN(Data!AL$4:AL$195),2,IF(Data!AL145&lt;=QUARTILE(Data!AL$4:AL$195,3),3,4)))</f>
        <v>2</v>
      </c>
      <c r="AM145" s="28">
        <f>IF(Data!AM145&lt;=QUARTILE(Data!AM$4:AM$195,1),1,IF(Data!AM145&lt;=MEDIAN(Data!AM$4:AM$195),2,IF(Data!AM145&lt;=QUARTILE(Data!AM$4:AM$195,3),3,4)))</f>
        <v>1</v>
      </c>
      <c r="AN145" s="22">
        <f>IF(Data!AN145&lt;=QUARTILE(Data!AN$4:AN$195,1),1,IF(Data!AN145&lt;=MEDIAN(Data!AN$4:AN$195),2,IF(Data!AN145&lt;=QUARTILE(Data!AN$4:AN$195,3),3,4)))</f>
        <v>1</v>
      </c>
      <c r="AO145" s="28">
        <f>IF(Data!AO145&lt;=QUARTILE(Data!AO$4:AO$195,1),1,IF(Data!AO145&lt;=MEDIAN(Data!AO$4:AO$195),2,IF(Data!AO145&lt;=QUARTILE(Data!AO$4:AO$195,3),3,4)))</f>
        <v>4</v>
      </c>
      <c r="AP145" s="28">
        <f>IF(Data!AP145&lt;=QUARTILE(Data!AP$4:AP$195,1),1,IF(Data!AP145&lt;=MEDIAN(Data!AP$4:AP$195),2,IF(Data!AP145&lt;=QUARTILE(Data!AP$4:AP$195,3),3,4)))</f>
        <v>2</v>
      </c>
      <c r="AQ145" s="28">
        <f>IF(Data!AQ145&lt;=QUARTILE(Data!AQ$4:AQ$195,1),1,IF(Data!AQ145&lt;=MEDIAN(Data!AQ$4:AQ$195),2,IF(Data!AQ145&lt;=QUARTILE(Data!AQ$4:AQ$195,3),3,4)))</f>
        <v>2</v>
      </c>
      <c r="AR145" s="28">
        <f>IF(Data!AR145&lt;=QUARTILE(Data!AR$4:AR$195,1),1,IF(Data!AR145&lt;=MEDIAN(Data!AR$4:AR$195),2,IF(Data!AR145&lt;=QUARTILE(Data!AR$4:AR$195,3),3,4)))</f>
        <v>1</v>
      </c>
      <c r="AS145" s="28">
        <f>IF(Data!AS145&lt;=QUARTILE(Data!AS$4:AS$195,1),1,IF(Data!AS145&lt;=MEDIAN(Data!AS$4:AS$195),2,IF(Data!AS145&lt;=QUARTILE(Data!AS$4:AS$195,3),3,4)))</f>
        <v>2</v>
      </c>
      <c r="AT145" s="28">
        <f>IF(Data!AT145&lt;=QUARTILE(Data!AT$4:AT$195,1),1,IF(Data!AT145&lt;=MEDIAN(Data!AT$4:AT$195),2,IF(Data!AT145&lt;=QUARTILE(Data!AT$4:AT$195,3),3,4)))</f>
        <v>4</v>
      </c>
      <c r="AU145" s="22">
        <f>IF(Data!AU145&lt;=QUARTILE(Data!AU$4:AU$195,1),1,IF(Data!AU145&lt;=MEDIAN(Data!AU$4:AU$195),2,IF(Data!AU145&lt;=QUARTILE(Data!AU$4:AU$195,3),3,4)))</f>
        <v>4</v>
      </c>
      <c r="AV145" s="25">
        <f>IF(Data!AV145&lt;=QUARTILE(Data!AV$4:AV$195,1),1,IF(Data!AV145&lt;=MEDIAN(Data!AV$4:AV$195),2,IF(Data!AV145&lt;=QUARTILE(Data!AV$4:AV$195,3),3,4)))</f>
        <v>1</v>
      </c>
      <c r="AW145" s="28">
        <f>IF(Data!AW145&lt;=QUARTILE(Data!AW$4:AW$195,1),1,IF(Data!AW145&lt;=MEDIAN(Data!AW$4:AW$195),2,IF(Data!AW145&lt;=QUARTILE(Data!AW$4:AW$195,3),3,4)))</f>
        <v>2</v>
      </c>
      <c r="AX145" s="28">
        <f>IF(Data!AX145&lt;=QUARTILE(Data!AX$4:AX$195,1),1,IF(Data!AX145&lt;=MEDIAN(Data!AX$4:AX$195),2,IF(Data!AX145&lt;=QUARTILE(Data!AX$4:AX$195,3),3,4)))</f>
        <v>1</v>
      </c>
      <c r="AY145" s="22">
        <f>IF(Data!AY145&lt;=QUARTILE(Data!AY$4:AY$195,1),1,IF(Data!AY145&lt;=MEDIAN(Data!AY$4:AY$195),2,IF(Data!AY145&lt;=QUARTILE(Data!AY$4:AY$195,3),3,4)))</f>
        <v>2</v>
      </c>
      <c r="AZ145" s="25">
        <f>IF(Data!AZ145&lt;=QUARTILE(Data!AZ$4:AZ$195,1),1,IF(Data!AZ145&lt;=MEDIAN(Data!AZ$4:AZ$195),2,IF(Data!AZ145&lt;=QUARTILE(Data!AZ$4:AZ$195,3),3,4)))</f>
        <v>3</v>
      </c>
      <c r="BA145" s="22">
        <f>IF(Data!BA145&lt;=QUARTILE(Data!BA$4:BA$195,1),1,IF(Data!BA145&lt;=MEDIAN(Data!BA$4:BA$195),2,IF(Data!BA145&lt;=QUARTILE(Data!BA$4:BA$195,3),3,4)))</f>
        <v>3</v>
      </c>
    </row>
    <row r="146" spans="1:53" x14ac:dyDescent="0.25">
      <c r="A146" s="4" t="s">
        <v>14</v>
      </c>
      <c r="B146" s="40">
        <v>2005</v>
      </c>
      <c r="C146" s="25">
        <v>12</v>
      </c>
      <c r="D146" s="28">
        <v>4</v>
      </c>
      <c r="E146" s="77" t="s">
        <v>97</v>
      </c>
      <c r="F146" s="28">
        <v>4.8</v>
      </c>
      <c r="G146" s="28">
        <v>1.1000000000000001</v>
      </c>
      <c r="H146" s="22">
        <v>3.7</v>
      </c>
      <c r="I146" s="25">
        <f>IF(Data!I146&lt;=QUARTILE(Data!I$4:I$195,1),1,IF(Data!I146&lt;=MEDIAN(Data!I$4:I$195),2,IF(Data!I146&lt;=QUARTILE(Data!I$4:I$195,3),3,4)))</f>
        <v>3</v>
      </c>
      <c r="J146" s="28">
        <f>IF(Data!J146&lt;=QUARTILE(Data!J$4:J$195,1),1,IF(Data!J146&lt;=MEDIAN(Data!J$4:J$195),2,IF(Data!J146&lt;=QUARTILE(Data!J$4:J$195,3),3,4)))</f>
        <v>2</v>
      </c>
      <c r="K146" s="28">
        <f>IF(Data!K146&lt;=QUARTILE(Data!K$4:K$195,1),1,IF(Data!K146&lt;=MEDIAN(Data!K$4:K$195),2,IF(Data!K146&lt;=QUARTILE(Data!K$4:K$195,3),3,4)))</f>
        <v>3</v>
      </c>
      <c r="L146" s="22">
        <f>IF(Data!L146&lt;=QUARTILE(Data!L$4:L$195,1),1,IF(Data!L146&lt;=MEDIAN(Data!L$4:L$195),2,IF(Data!L146&lt;=QUARTILE(Data!L$4:L$195,3),3,4)))</f>
        <v>3</v>
      </c>
      <c r="M146" s="28">
        <f>IF(Data!M146&lt;=QUARTILE(Data!M$4:M$195,1),1,IF(Data!M146&lt;=MEDIAN(Data!M$4:M$195),2,IF(Data!M146&lt;=QUARTILE(Data!M$4:M$195,3),3,4)))</f>
        <v>2</v>
      </c>
      <c r="N146" s="28">
        <f>IF(Data!N146&lt;=QUARTILE(Data!N$4:N$195,1),1,IF(Data!N146&lt;=MEDIAN(Data!N$4:N$195),2,IF(Data!N146&lt;=QUARTILE(Data!N$4:N$195,3),3,4)))</f>
        <v>2</v>
      </c>
      <c r="O146" s="28">
        <f>IF(Data!O146&lt;=QUARTILE(Data!O$4:O$195,1),1,IF(Data!O146&lt;=MEDIAN(Data!O$4:O$195),2,IF(Data!O146&lt;=QUARTILE(Data!O$4:O$195,3),3,4)))</f>
        <v>2</v>
      </c>
      <c r="P146" s="28">
        <f>IF(Data!P146&lt;=QUARTILE(Data!P$4:P$195,1),1,IF(Data!P146&lt;=MEDIAN(Data!P$4:P$195),2,IF(Data!P146&lt;=QUARTILE(Data!P$4:P$195,3),3,4)))</f>
        <v>2</v>
      </c>
      <c r="Q146" s="28">
        <f>IF(Data!Q146&lt;=QUARTILE(Data!Q$4:Q$195,1),1,IF(Data!Q146&lt;=MEDIAN(Data!Q$4:Q$195),2,IF(Data!Q146&lt;=QUARTILE(Data!Q$4:Q$195,3),3,4)))</f>
        <v>2</v>
      </c>
      <c r="R146" s="28">
        <f>IF(Data!R146&lt;=QUARTILE(Data!R$4:R$195,1),1,IF(Data!R146&lt;=MEDIAN(Data!R$4:R$195),2,IF(Data!R146&lt;=QUARTILE(Data!R$4:R$195,3),3,4)))</f>
        <v>3</v>
      </c>
      <c r="S146" s="28">
        <f>IF(Data!S146&lt;=QUARTILE(Data!S$4:S$195,1),1,IF(Data!S146&lt;=MEDIAN(Data!S$4:S$195),2,IF(Data!S146&lt;=QUARTILE(Data!S$4:S$195,3),3,4)))</f>
        <v>2</v>
      </c>
      <c r="T146" s="22">
        <f>IF(Data!T146&lt;=QUARTILE(Data!T$4:T$195,1),1,IF(Data!T146&lt;=MEDIAN(Data!T$4:T$195),2,IF(Data!T146&lt;=QUARTILE(Data!T$4:T$195,3),3,4)))</f>
        <v>1</v>
      </c>
      <c r="U146" s="25">
        <f>IF(Data!U146&lt;=QUARTILE(Data!U$4:U$195,1),1,IF(Data!U146&lt;=MEDIAN(Data!U$4:U$195),2,IF(Data!U146&lt;=QUARTILE(Data!U$4:U$195,3),3,4)))</f>
        <v>4</v>
      </c>
      <c r="V146" s="28">
        <f>IF(Data!V146&lt;=QUARTILE(Data!V$4:V$195,1),1,IF(Data!V146&lt;=MEDIAN(Data!V$4:V$195),2,IF(Data!V146&lt;=QUARTILE(Data!V$4:V$195,3),3,4)))</f>
        <v>3</v>
      </c>
      <c r="W146" s="28">
        <f>IF(Data!W146&lt;=QUARTILE(Data!W$4:W$195,1),1,IF(Data!W146&lt;=MEDIAN(Data!W$4:W$195),2,IF(Data!W146&lt;=QUARTILE(Data!W$4:W$195,3),3,4)))</f>
        <v>4</v>
      </c>
      <c r="X146" s="22">
        <f>IF(Data!X146&lt;=QUARTILE(Data!X$4:X$195,1),1,IF(Data!X146&lt;=MEDIAN(Data!X$4:X$195),2,IF(Data!X146&lt;=QUARTILE(Data!X$4:X$195,3),3,4)))</f>
        <v>2</v>
      </c>
      <c r="Y146" s="30">
        <f>IF(Data!Y146&lt;=QUARTILE(Data!Y$4:Y$195,1),1,IF(Data!Y146&lt;=MEDIAN(Data!Y$4:Y$195),2,IF(Data!Y146&lt;=QUARTILE(Data!Y$4:Y$195,3),3,4)))</f>
        <v>1</v>
      </c>
      <c r="Z146" s="30">
        <f>IF(Data!Z146&lt;=QUARTILE(Data!Z$4:Z$195,1),1,IF(Data!Z146&lt;=MEDIAN(Data!Z$4:Z$195),2,IF(Data!Z146&lt;=QUARTILE(Data!Z$4:Z$195,3),3,4)))</f>
        <v>2</v>
      </c>
      <c r="AA146" s="25">
        <f>IF(Data!AA146&lt;=QUARTILE(Data!AA$4:AA$195,1),1,IF(Data!AA146&lt;=MEDIAN(Data!AA$4:AA$195),2,IF(Data!AA146&lt;=QUARTILE(Data!AA$4:AA$195,3),3,4)))</f>
        <v>4</v>
      </c>
      <c r="AB146" s="22">
        <f>IF(Data!AB146&lt;=QUARTILE(Data!AB$4:AB$195,1),1,IF(Data!AB146&lt;=MEDIAN(Data!AB$4:AB$195),2,IF(Data!AB146&lt;=QUARTILE(Data!AB$4:AB$195,3),3,4)))</f>
        <v>4</v>
      </c>
      <c r="AC146" s="25">
        <f>IF(Data!AC146&lt;=QUARTILE(Data!AC$4:AC$195,1),1,IF(Data!AC146&lt;=MEDIAN(Data!AC$4:AC$195),2,IF(Data!AC146&lt;=QUARTILE(Data!AC$4:AC$195,3),3,4)))</f>
        <v>1</v>
      </c>
      <c r="AD146" s="22">
        <f>IF(Data!AD146&lt;=QUARTILE(Data!AD$4:AD$195,1),1,IF(Data!AD146&lt;=MEDIAN(Data!AD$4:AD$195),2,IF(Data!AD146&lt;=QUARTILE(Data!AD$4:AD$195,3),3,4)))</f>
        <v>1</v>
      </c>
      <c r="AE146" s="28">
        <f>IF(Data!AE146&lt;=QUARTILE(Data!AE$4:AE$195,1),1,IF(Data!AE146&lt;=MEDIAN(Data!AE$4:AE$195),2,IF(Data!AE146&lt;=QUARTILE(Data!AE$4:AE$195,3),3,4)))</f>
        <v>2</v>
      </c>
      <c r="AF146" s="28">
        <f>IF(Data!AF146&lt;=QUARTILE(Data!AF$4:AF$195,1),1,IF(Data!AF146&lt;=MEDIAN(Data!AF$4:AF$195),2,IF(Data!AF146&lt;=QUARTILE(Data!AF$4:AF$195,3),3,4)))</f>
        <v>2</v>
      </c>
      <c r="AG146" s="28">
        <f>IF(Data!AG146&lt;=QUARTILE(Data!AG$4:AG$195,1),1,IF(Data!AG146&lt;=MEDIAN(Data!AG$4:AG$195),2,IF(Data!AG146&lt;=QUARTILE(Data!AG$4:AG$195,3),3,4)))</f>
        <v>3</v>
      </c>
      <c r="AH146" s="22">
        <f>IF(Data!AH146&lt;=QUARTILE(Data!AH$4:AH$195,1),1,IF(Data!AH146&lt;=MEDIAN(Data!AH$4:AH$195),2,IF(Data!AH146&lt;=QUARTILE(Data!AH$4:AH$195,3),3,4)))</f>
        <v>2</v>
      </c>
      <c r="AI146" s="25">
        <f>IF(Data!AI146&lt;=QUARTILE(Data!AI$4:AI$195,1),1,IF(Data!AI146&lt;=MEDIAN(Data!AI$4:AI$195),2,IF(Data!AI146&lt;=QUARTILE(Data!AI$4:AI$195,3),3,4)))</f>
        <v>3</v>
      </c>
      <c r="AJ146" s="22">
        <f>IF(Data!AJ146&lt;=QUARTILE(Data!AJ$4:AJ$195,1),1,IF(Data!AJ146&lt;=MEDIAN(Data!AJ$4:AJ$195),2,IF(Data!AJ146&lt;=QUARTILE(Data!AJ$4:AJ$195,3),3,4)))</f>
        <v>4</v>
      </c>
      <c r="AK146" s="25">
        <f>IF(Data!AK146&lt;=QUARTILE(Data!AK$4:AK$195,1),1,IF(Data!AK146&lt;=MEDIAN(Data!AK$4:AK$195),2,IF(Data!AK146&lt;=QUARTILE(Data!AK$4:AK$195,3),3,4)))</f>
        <v>1</v>
      </c>
      <c r="AL146" s="28">
        <f>IF(Data!AL146&lt;=QUARTILE(Data!AL$4:AL$195,1),1,IF(Data!AL146&lt;=MEDIAN(Data!AL$4:AL$195),2,IF(Data!AL146&lt;=QUARTILE(Data!AL$4:AL$195,3),3,4)))</f>
        <v>1</v>
      </c>
      <c r="AM146" s="28">
        <f>IF(Data!AM146&lt;=QUARTILE(Data!AM$4:AM$195,1),1,IF(Data!AM146&lt;=MEDIAN(Data!AM$4:AM$195),2,IF(Data!AM146&lt;=QUARTILE(Data!AM$4:AM$195,3),3,4)))</f>
        <v>1</v>
      </c>
      <c r="AN146" s="22">
        <f>IF(Data!AN146&lt;=QUARTILE(Data!AN$4:AN$195,1),1,IF(Data!AN146&lt;=MEDIAN(Data!AN$4:AN$195),2,IF(Data!AN146&lt;=QUARTILE(Data!AN$4:AN$195,3),3,4)))</f>
        <v>1</v>
      </c>
      <c r="AO146" s="28">
        <f>IF(Data!AO146&lt;=QUARTILE(Data!AO$4:AO$195,1),1,IF(Data!AO146&lt;=MEDIAN(Data!AO$4:AO$195),2,IF(Data!AO146&lt;=QUARTILE(Data!AO$4:AO$195,3),3,4)))</f>
        <v>1</v>
      </c>
      <c r="AP146" s="28">
        <f>IF(Data!AP146&lt;=QUARTILE(Data!AP$4:AP$195,1),1,IF(Data!AP146&lt;=MEDIAN(Data!AP$4:AP$195),2,IF(Data!AP146&lt;=QUARTILE(Data!AP$4:AP$195,3),3,4)))</f>
        <v>1</v>
      </c>
      <c r="AQ146" s="28">
        <f>IF(Data!AQ146&lt;=QUARTILE(Data!AQ$4:AQ$195,1),1,IF(Data!AQ146&lt;=MEDIAN(Data!AQ$4:AQ$195),2,IF(Data!AQ146&lt;=QUARTILE(Data!AQ$4:AQ$195,3),3,4)))</f>
        <v>1</v>
      </c>
      <c r="AR146" s="28">
        <f>IF(Data!AR146&lt;=QUARTILE(Data!AR$4:AR$195,1),1,IF(Data!AR146&lt;=MEDIAN(Data!AR$4:AR$195),2,IF(Data!AR146&lt;=QUARTILE(Data!AR$4:AR$195,3),3,4)))</f>
        <v>3</v>
      </c>
      <c r="AS146" s="28">
        <f>IF(Data!AS146&lt;=QUARTILE(Data!AS$4:AS$195,1),1,IF(Data!AS146&lt;=MEDIAN(Data!AS$4:AS$195),2,IF(Data!AS146&lt;=QUARTILE(Data!AS$4:AS$195,3),3,4)))</f>
        <v>1</v>
      </c>
      <c r="AT146" s="28">
        <f>IF(Data!AT146&lt;=QUARTILE(Data!AT$4:AT$195,1),1,IF(Data!AT146&lt;=MEDIAN(Data!AT$4:AT$195),2,IF(Data!AT146&lt;=QUARTILE(Data!AT$4:AT$195,3),3,4)))</f>
        <v>4</v>
      </c>
      <c r="AU146" s="22">
        <f>IF(Data!AU146&lt;=QUARTILE(Data!AU$4:AU$195,1),1,IF(Data!AU146&lt;=MEDIAN(Data!AU$4:AU$195),2,IF(Data!AU146&lt;=QUARTILE(Data!AU$4:AU$195,3),3,4)))</f>
        <v>4</v>
      </c>
      <c r="AV146" s="25">
        <f>IF(Data!AV146&lt;=QUARTILE(Data!AV$4:AV$195,1),1,IF(Data!AV146&lt;=MEDIAN(Data!AV$4:AV$195),2,IF(Data!AV146&lt;=QUARTILE(Data!AV$4:AV$195,3),3,4)))</f>
        <v>2</v>
      </c>
      <c r="AW146" s="28">
        <f>IF(Data!AW146&lt;=QUARTILE(Data!AW$4:AW$195,1),1,IF(Data!AW146&lt;=MEDIAN(Data!AW$4:AW$195),2,IF(Data!AW146&lt;=QUARTILE(Data!AW$4:AW$195,3),3,4)))</f>
        <v>2</v>
      </c>
      <c r="AX146" s="28">
        <f>IF(Data!AX146&lt;=QUARTILE(Data!AX$4:AX$195,1),1,IF(Data!AX146&lt;=MEDIAN(Data!AX$4:AX$195),2,IF(Data!AX146&lt;=QUARTILE(Data!AX$4:AX$195,3),3,4)))</f>
        <v>1</v>
      </c>
      <c r="AY146" s="22">
        <f>IF(Data!AY146&lt;=QUARTILE(Data!AY$4:AY$195,1),1,IF(Data!AY146&lt;=MEDIAN(Data!AY$4:AY$195),2,IF(Data!AY146&lt;=QUARTILE(Data!AY$4:AY$195,3),3,4)))</f>
        <v>1</v>
      </c>
      <c r="AZ146" s="25">
        <f>IF(Data!AZ146&lt;=QUARTILE(Data!AZ$4:AZ$195,1),1,IF(Data!AZ146&lt;=MEDIAN(Data!AZ$4:AZ$195),2,IF(Data!AZ146&lt;=QUARTILE(Data!AZ$4:AZ$195,3),3,4)))</f>
        <v>3</v>
      </c>
      <c r="BA146" s="22">
        <f>IF(Data!BA146&lt;=QUARTILE(Data!BA$4:BA$195,1),1,IF(Data!BA146&lt;=MEDIAN(Data!BA$4:BA$195),2,IF(Data!BA146&lt;=QUARTILE(Data!BA$4:BA$195,3),3,4)))</f>
        <v>1</v>
      </c>
    </row>
    <row r="147" spans="1:53" x14ac:dyDescent="0.25">
      <c r="A147" s="4" t="s">
        <v>18</v>
      </c>
      <c r="B147" s="40">
        <v>2005</v>
      </c>
      <c r="C147" s="25">
        <v>10</v>
      </c>
      <c r="D147" s="28">
        <v>6</v>
      </c>
      <c r="E147" s="77" t="s">
        <v>96</v>
      </c>
      <c r="F147" s="28">
        <v>7</v>
      </c>
      <c r="G147" s="28">
        <v>5.0999999999999996</v>
      </c>
      <c r="H147" s="22">
        <v>1.9</v>
      </c>
      <c r="I147" s="25">
        <f>IF(Data!I147&lt;=QUARTILE(Data!I$4:I$195,1),1,IF(Data!I147&lt;=MEDIAN(Data!I$4:I$195),2,IF(Data!I147&lt;=QUARTILE(Data!I$4:I$195,3),3,4)))</f>
        <v>4</v>
      </c>
      <c r="J147" s="28">
        <f>IF(Data!J147&lt;=QUARTILE(Data!J$4:J$195,1),1,IF(Data!J147&lt;=MEDIAN(Data!J$4:J$195),2,IF(Data!J147&lt;=QUARTILE(Data!J$4:J$195,3),3,4)))</f>
        <v>4</v>
      </c>
      <c r="K147" s="28">
        <f>IF(Data!K147&lt;=QUARTILE(Data!K$4:K$195,1),1,IF(Data!K147&lt;=MEDIAN(Data!K$4:K$195),2,IF(Data!K147&lt;=QUARTILE(Data!K$4:K$195,3),3,4)))</f>
        <v>4</v>
      </c>
      <c r="L147" s="22">
        <f>IF(Data!L147&lt;=QUARTILE(Data!L$4:L$195,1),1,IF(Data!L147&lt;=MEDIAN(Data!L$4:L$195),2,IF(Data!L147&lt;=QUARTILE(Data!L$4:L$195,3),3,4)))</f>
        <v>4</v>
      </c>
      <c r="M147" s="28">
        <f>IF(Data!M147&lt;=QUARTILE(Data!M$4:M$195,1),1,IF(Data!M147&lt;=MEDIAN(Data!M$4:M$195),2,IF(Data!M147&lt;=QUARTILE(Data!M$4:M$195,3),3,4)))</f>
        <v>3</v>
      </c>
      <c r="N147" s="28">
        <f>IF(Data!N147&lt;=QUARTILE(Data!N$4:N$195,1),1,IF(Data!N147&lt;=MEDIAN(Data!N$4:N$195),2,IF(Data!N147&lt;=QUARTILE(Data!N$4:N$195,3),3,4)))</f>
        <v>2</v>
      </c>
      <c r="O147" s="28">
        <f>IF(Data!O147&lt;=QUARTILE(Data!O$4:O$195,1),1,IF(Data!O147&lt;=MEDIAN(Data!O$4:O$195),2,IF(Data!O147&lt;=QUARTILE(Data!O$4:O$195,3),3,4)))</f>
        <v>3</v>
      </c>
      <c r="P147" s="28">
        <f>IF(Data!P147&lt;=QUARTILE(Data!P$4:P$195,1),1,IF(Data!P147&lt;=MEDIAN(Data!P$4:P$195),2,IF(Data!P147&lt;=QUARTILE(Data!P$4:P$195,3),3,4)))</f>
        <v>2</v>
      </c>
      <c r="Q147" s="28">
        <f>IF(Data!Q147&lt;=QUARTILE(Data!Q$4:Q$195,1),1,IF(Data!Q147&lt;=MEDIAN(Data!Q$4:Q$195),2,IF(Data!Q147&lt;=QUARTILE(Data!Q$4:Q$195,3),3,4)))</f>
        <v>3</v>
      </c>
      <c r="R147" s="28">
        <f>IF(Data!R147&lt;=QUARTILE(Data!R$4:R$195,1),1,IF(Data!R147&lt;=MEDIAN(Data!R$4:R$195),2,IF(Data!R147&lt;=QUARTILE(Data!R$4:R$195,3),3,4)))</f>
        <v>4</v>
      </c>
      <c r="S147" s="28">
        <f>IF(Data!S147&lt;=QUARTILE(Data!S$4:S$195,1),1,IF(Data!S147&lt;=MEDIAN(Data!S$4:S$195),2,IF(Data!S147&lt;=QUARTILE(Data!S$4:S$195,3),3,4)))</f>
        <v>2</v>
      </c>
      <c r="T147" s="22">
        <f>IF(Data!T147&lt;=QUARTILE(Data!T$4:T$195,1),1,IF(Data!T147&lt;=MEDIAN(Data!T$4:T$195),2,IF(Data!T147&lt;=QUARTILE(Data!T$4:T$195,3),3,4)))</f>
        <v>2</v>
      </c>
      <c r="U147" s="25">
        <f>IF(Data!U147&lt;=QUARTILE(Data!U$4:U$195,1),1,IF(Data!U147&lt;=MEDIAN(Data!U$4:U$195),2,IF(Data!U147&lt;=QUARTILE(Data!U$4:U$195,3),3,4)))</f>
        <v>4</v>
      </c>
      <c r="V147" s="28">
        <f>IF(Data!V147&lt;=QUARTILE(Data!V$4:V$195,1),1,IF(Data!V147&lt;=MEDIAN(Data!V$4:V$195),2,IF(Data!V147&lt;=QUARTILE(Data!V$4:V$195,3),3,4)))</f>
        <v>4</v>
      </c>
      <c r="W147" s="28">
        <f>IF(Data!W147&lt;=QUARTILE(Data!W$4:W$195,1),1,IF(Data!W147&lt;=MEDIAN(Data!W$4:W$195),2,IF(Data!W147&lt;=QUARTILE(Data!W$4:W$195,3),3,4)))</f>
        <v>4</v>
      </c>
      <c r="X147" s="22">
        <f>IF(Data!X147&lt;=QUARTILE(Data!X$4:X$195,1),1,IF(Data!X147&lt;=MEDIAN(Data!X$4:X$195),2,IF(Data!X147&lt;=QUARTILE(Data!X$4:X$195,3),3,4)))</f>
        <v>4</v>
      </c>
      <c r="Y147" s="30">
        <f>IF(Data!Y147&lt;=QUARTILE(Data!Y$4:Y$195,1),1,IF(Data!Y147&lt;=MEDIAN(Data!Y$4:Y$195),2,IF(Data!Y147&lt;=QUARTILE(Data!Y$4:Y$195,3),3,4)))</f>
        <v>1</v>
      </c>
      <c r="Z147" s="30">
        <f>IF(Data!Z147&lt;=QUARTILE(Data!Z$4:Z$195,1),1,IF(Data!Z147&lt;=MEDIAN(Data!Z$4:Z$195),2,IF(Data!Z147&lt;=QUARTILE(Data!Z$4:Z$195,3),3,4)))</f>
        <v>3</v>
      </c>
      <c r="AA147" s="25">
        <f>IF(Data!AA147&lt;=QUARTILE(Data!AA$4:AA$195,1),1,IF(Data!AA147&lt;=MEDIAN(Data!AA$4:AA$195),2,IF(Data!AA147&lt;=QUARTILE(Data!AA$4:AA$195,3),3,4)))</f>
        <v>3</v>
      </c>
      <c r="AB147" s="22">
        <f>IF(Data!AB147&lt;=QUARTILE(Data!AB$4:AB$195,1),1,IF(Data!AB147&lt;=MEDIAN(Data!AB$4:AB$195),2,IF(Data!AB147&lt;=QUARTILE(Data!AB$4:AB$195,3),3,4)))</f>
        <v>2</v>
      </c>
      <c r="AC147" s="25">
        <f>IF(Data!AC147&lt;=QUARTILE(Data!AC$4:AC$195,1),1,IF(Data!AC147&lt;=MEDIAN(Data!AC$4:AC$195),2,IF(Data!AC147&lt;=QUARTILE(Data!AC$4:AC$195,3),3,4)))</f>
        <v>3</v>
      </c>
      <c r="AD147" s="22">
        <f>IF(Data!AD147&lt;=QUARTILE(Data!AD$4:AD$195,1),1,IF(Data!AD147&lt;=MEDIAN(Data!AD$4:AD$195),2,IF(Data!AD147&lt;=QUARTILE(Data!AD$4:AD$195,3),3,4)))</f>
        <v>3</v>
      </c>
      <c r="AE147" s="28">
        <f>IF(Data!AE147&lt;=QUARTILE(Data!AE$4:AE$195,1),1,IF(Data!AE147&lt;=MEDIAN(Data!AE$4:AE$195),2,IF(Data!AE147&lt;=QUARTILE(Data!AE$4:AE$195,3),3,4)))</f>
        <v>4</v>
      </c>
      <c r="AF147" s="28">
        <f>IF(Data!AF147&lt;=QUARTILE(Data!AF$4:AF$195,1),1,IF(Data!AF147&lt;=MEDIAN(Data!AF$4:AF$195),2,IF(Data!AF147&lt;=QUARTILE(Data!AF$4:AF$195,3),3,4)))</f>
        <v>4</v>
      </c>
      <c r="AG147" s="28">
        <f>IF(Data!AG147&lt;=QUARTILE(Data!AG$4:AG$195,1),1,IF(Data!AG147&lt;=MEDIAN(Data!AG$4:AG$195),2,IF(Data!AG147&lt;=QUARTILE(Data!AG$4:AG$195,3),3,4)))</f>
        <v>2</v>
      </c>
      <c r="AH147" s="22">
        <f>IF(Data!AH147&lt;=QUARTILE(Data!AH$4:AH$195,1),1,IF(Data!AH147&lt;=MEDIAN(Data!AH$4:AH$195),2,IF(Data!AH147&lt;=QUARTILE(Data!AH$4:AH$195,3),3,4)))</f>
        <v>1</v>
      </c>
      <c r="AI147" s="25">
        <f>IF(Data!AI147&lt;=QUARTILE(Data!AI$4:AI$195,1),1,IF(Data!AI147&lt;=MEDIAN(Data!AI$4:AI$195),2,IF(Data!AI147&lt;=QUARTILE(Data!AI$4:AI$195,3),3,4)))</f>
        <v>1</v>
      </c>
      <c r="AJ147" s="22">
        <f>IF(Data!AJ147&lt;=QUARTILE(Data!AJ$4:AJ$195,1),1,IF(Data!AJ147&lt;=MEDIAN(Data!AJ$4:AJ$195),2,IF(Data!AJ147&lt;=QUARTILE(Data!AJ$4:AJ$195,3),3,4)))</f>
        <v>2</v>
      </c>
      <c r="AK147" s="25">
        <f>IF(Data!AK147&lt;=QUARTILE(Data!AK$4:AK$195,1),1,IF(Data!AK147&lt;=MEDIAN(Data!AK$4:AK$195),2,IF(Data!AK147&lt;=QUARTILE(Data!AK$4:AK$195,3),3,4)))</f>
        <v>2</v>
      </c>
      <c r="AL147" s="28">
        <f>IF(Data!AL147&lt;=QUARTILE(Data!AL$4:AL$195,1),1,IF(Data!AL147&lt;=MEDIAN(Data!AL$4:AL$195),2,IF(Data!AL147&lt;=QUARTILE(Data!AL$4:AL$195,3),3,4)))</f>
        <v>3</v>
      </c>
      <c r="AM147" s="28">
        <f>IF(Data!AM147&lt;=QUARTILE(Data!AM$4:AM$195,1),1,IF(Data!AM147&lt;=MEDIAN(Data!AM$4:AM$195),2,IF(Data!AM147&lt;=QUARTILE(Data!AM$4:AM$195,3),3,4)))</f>
        <v>1</v>
      </c>
      <c r="AN147" s="22">
        <f>IF(Data!AN147&lt;=QUARTILE(Data!AN$4:AN$195,1),1,IF(Data!AN147&lt;=MEDIAN(Data!AN$4:AN$195),2,IF(Data!AN147&lt;=QUARTILE(Data!AN$4:AN$195,3),3,4)))</f>
        <v>2</v>
      </c>
      <c r="AO147" s="28">
        <f>IF(Data!AO147&lt;=QUARTILE(Data!AO$4:AO$195,1),1,IF(Data!AO147&lt;=MEDIAN(Data!AO$4:AO$195),2,IF(Data!AO147&lt;=QUARTILE(Data!AO$4:AO$195,3),3,4)))</f>
        <v>3</v>
      </c>
      <c r="AP147" s="28">
        <f>IF(Data!AP147&lt;=QUARTILE(Data!AP$4:AP$195,1),1,IF(Data!AP147&lt;=MEDIAN(Data!AP$4:AP$195),2,IF(Data!AP147&lt;=QUARTILE(Data!AP$4:AP$195,3),3,4)))</f>
        <v>4</v>
      </c>
      <c r="AQ147" s="28">
        <f>IF(Data!AQ147&lt;=QUARTILE(Data!AQ$4:AQ$195,1),1,IF(Data!AQ147&lt;=MEDIAN(Data!AQ$4:AQ$195),2,IF(Data!AQ147&lt;=QUARTILE(Data!AQ$4:AQ$195,3),3,4)))</f>
        <v>4</v>
      </c>
      <c r="AR147" s="28">
        <f>IF(Data!AR147&lt;=QUARTILE(Data!AR$4:AR$195,1),1,IF(Data!AR147&lt;=MEDIAN(Data!AR$4:AR$195),2,IF(Data!AR147&lt;=QUARTILE(Data!AR$4:AR$195,3),3,4)))</f>
        <v>3</v>
      </c>
      <c r="AS147" s="28">
        <f>IF(Data!AS147&lt;=QUARTILE(Data!AS$4:AS$195,1),1,IF(Data!AS147&lt;=MEDIAN(Data!AS$4:AS$195),2,IF(Data!AS147&lt;=QUARTILE(Data!AS$4:AS$195,3),3,4)))</f>
        <v>4</v>
      </c>
      <c r="AT147" s="28">
        <f>IF(Data!AT147&lt;=QUARTILE(Data!AT$4:AT$195,1),1,IF(Data!AT147&lt;=MEDIAN(Data!AT$4:AT$195),2,IF(Data!AT147&lt;=QUARTILE(Data!AT$4:AT$195,3),3,4)))</f>
        <v>1</v>
      </c>
      <c r="AU147" s="22">
        <f>IF(Data!AU147&lt;=QUARTILE(Data!AU$4:AU$195,1),1,IF(Data!AU147&lt;=MEDIAN(Data!AU$4:AU$195),2,IF(Data!AU147&lt;=QUARTILE(Data!AU$4:AU$195,3),3,4)))</f>
        <v>1</v>
      </c>
      <c r="AV147" s="25">
        <f>IF(Data!AV147&lt;=QUARTILE(Data!AV$4:AV$195,1),1,IF(Data!AV147&lt;=MEDIAN(Data!AV$4:AV$195),2,IF(Data!AV147&lt;=QUARTILE(Data!AV$4:AV$195,3),3,4)))</f>
        <v>1</v>
      </c>
      <c r="AW147" s="28">
        <f>IF(Data!AW147&lt;=QUARTILE(Data!AW$4:AW$195,1),1,IF(Data!AW147&lt;=MEDIAN(Data!AW$4:AW$195),2,IF(Data!AW147&lt;=QUARTILE(Data!AW$4:AW$195,3),3,4)))</f>
        <v>1</v>
      </c>
      <c r="AX147" s="28">
        <f>IF(Data!AX147&lt;=QUARTILE(Data!AX$4:AX$195,1),1,IF(Data!AX147&lt;=MEDIAN(Data!AX$4:AX$195),2,IF(Data!AX147&lt;=QUARTILE(Data!AX$4:AX$195,3),3,4)))</f>
        <v>2</v>
      </c>
      <c r="AY147" s="22">
        <f>IF(Data!AY147&lt;=QUARTILE(Data!AY$4:AY$195,1),1,IF(Data!AY147&lt;=MEDIAN(Data!AY$4:AY$195),2,IF(Data!AY147&lt;=QUARTILE(Data!AY$4:AY$195,3),3,4)))</f>
        <v>2</v>
      </c>
      <c r="AZ147" s="25">
        <f>IF(Data!AZ147&lt;=QUARTILE(Data!AZ$4:AZ$195,1),1,IF(Data!AZ147&lt;=MEDIAN(Data!AZ$4:AZ$195),2,IF(Data!AZ147&lt;=QUARTILE(Data!AZ$4:AZ$195,3),3,4)))</f>
        <v>2</v>
      </c>
      <c r="BA147" s="22">
        <f>IF(Data!BA147&lt;=QUARTILE(Data!BA$4:BA$195,1),1,IF(Data!BA147&lt;=MEDIAN(Data!BA$4:BA$195),2,IF(Data!BA147&lt;=QUARTILE(Data!BA$4:BA$195,3),3,4)))</f>
        <v>4</v>
      </c>
    </row>
    <row r="148" spans="1:53" x14ac:dyDescent="0.25">
      <c r="A148" s="4" t="s">
        <v>5</v>
      </c>
      <c r="B148" s="40">
        <v>2005</v>
      </c>
      <c r="C148" s="25">
        <v>9</v>
      </c>
      <c r="D148" s="28">
        <v>7</v>
      </c>
      <c r="E148" s="77" t="s">
        <v>96</v>
      </c>
      <c r="F148" s="28">
        <v>-0.8</v>
      </c>
      <c r="G148" s="28">
        <v>-1.1000000000000001</v>
      </c>
      <c r="H148" s="22">
        <v>0.3</v>
      </c>
      <c r="I148" s="25">
        <f>IF(Data!I148&lt;=QUARTILE(Data!I$4:I$195,1),1,IF(Data!I148&lt;=MEDIAN(Data!I$4:I$195),2,IF(Data!I148&lt;=QUARTILE(Data!I$4:I$195,3),3,4)))</f>
        <v>2</v>
      </c>
      <c r="J148" s="28">
        <f>IF(Data!J148&lt;=QUARTILE(Data!J$4:J$195,1),1,IF(Data!J148&lt;=MEDIAN(Data!J$4:J$195),2,IF(Data!J148&lt;=QUARTILE(Data!J$4:J$195,3),3,4)))</f>
        <v>3</v>
      </c>
      <c r="K148" s="28">
        <f>IF(Data!K148&lt;=QUARTILE(Data!K$4:K$195,1),1,IF(Data!K148&lt;=MEDIAN(Data!K$4:K$195),2,IF(Data!K148&lt;=QUARTILE(Data!K$4:K$195,3),3,4)))</f>
        <v>3</v>
      </c>
      <c r="L148" s="22">
        <f>IF(Data!L148&lt;=QUARTILE(Data!L$4:L$195,1),1,IF(Data!L148&lt;=MEDIAN(Data!L$4:L$195),2,IF(Data!L148&lt;=QUARTILE(Data!L$4:L$195,3),3,4)))</f>
        <v>1</v>
      </c>
      <c r="M148" s="28">
        <f>IF(Data!M148&lt;=QUARTILE(Data!M$4:M$195,1),1,IF(Data!M148&lt;=MEDIAN(Data!M$4:M$195),2,IF(Data!M148&lt;=QUARTILE(Data!M$4:M$195,3),3,4)))</f>
        <v>2</v>
      </c>
      <c r="N148" s="28">
        <f>IF(Data!N148&lt;=QUARTILE(Data!N$4:N$195,1),1,IF(Data!N148&lt;=MEDIAN(Data!N$4:N$195),2,IF(Data!N148&lt;=QUARTILE(Data!N$4:N$195,3),3,4)))</f>
        <v>3</v>
      </c>
      <c r="O148" s="28">
        <f>IF(Data!O148&lt;=QUARTILE(Data!O$4:O$195,1),1,IF(Data!O148&lt;=MEDIAN(Data!O$4:O$195),2,IF(Data!O148&lt;=QUARTILE(Data!O$4:O$195,3),3,4)))</f>
        <v>2</v>
      </c>
      <c r="P148" s="28">
        <f>IF(Data!P148&lt;=QUARTILE(Data!P$4:P$195,1),1,IF(Data!P148&lt;=MEDIAN(Data!P$4:P$195),2,IF(Data!P148&lt;=QUARTILE(Data!P$4:P$195,3),3,4)))</f>
        <v>3</v>
      </c>
      <c r="Q148" s="28">
        <f>IF(Data!Q148&lt;=QUARTILE(Data!Q$4:Q$195,1),1,IF(Data!Q148&lt;=MEDIAN(Data!Q$4:Q$195),2,IF(Data!Q148&lt;=QUARTILE(Data!Q$4:Q$195,3),3,4)))</f>
        <v>2</v>
      </c>
      <c r="R148" s="28">
        <f>IF(Data!R148&lt;=QUARTILE(Data!R$4:R$195,1),1,IF(Data!R148&lt;=MEDIAN(Data!R$4:R$195),2,IF(Data!R148&lt;=QUARTILE(Data!R$4:R$195,3),3,4)))</f>
        <v>1</v>
      </c>
      <c r="S148" s="28">
        <f>IF(Data!S148&lt;=QUARTILE(Data!S$4:S$195,1),1,IF(Data!S148&lt;=MEDIAN(Data!S$4:S$195),2,IF(Data!S148&lt;=QUARTILE(Data!S$4:S$195,3),3,4)))</f>
        <v>1</v>
      </c>
      <c r="T148" s="22">
        <f>IF(Data!T148&lt;=QUARTILE(Data!T$4:T$195,1),1,IF(Data!T148&lt;=MEDIAN(Data!T$4:T$195),2,IF(Data!T148&lt;=QUARTILE(Data!T$4:T$195,3),3,4)))</f>
        <v>1</v>
      </c>
      <c r="U148" s="25">
        <f>IF(Data!U148&lt;=QUARTILE(Data!U$4:U$195,1),1,IF(Data!U148&lt;=MEDIAN(Data!U$4:U$195),2,IF(Data!U148&lt;=QUARTILE(Data!U$4:U$195,3),3,4)))</f>
        <v>3</v>
      </c>
      <c r="V148" s="28">
        <f>IF(Data!V148&lt;=QUARTILE(Data!V$4:V$195,1),1,IF(Data!V148&lt;=MEDIAN(Data!V$4:V$195),2,IF(Data!V148&lt;=QUARTILE(Data!V$4:V$195,3),3,4)))</f>
        <v>3</v>
      </c>
      <c r="W148" s="28">
        <f>IF(Data!W148&lt;=QUARTILE(Data!W$4:W$195,1),1,IF(Data!W148&lt;=MEDIAN(Data!W$4:W$195),2,IF(Data!W148&lt;=QUARTILE(Data!W$4:W$195,3),3,4)))</f>
        <v>2</v>
      </c>
      <c r="X148" s="22">
        <f>IF(Data!X148&lt;=QUARTILE(Data!X$4:X$195,1),1,IF(Data!X148&lt;=MEDIAN(Data!X$4:X$195),2,IF(Data!X148&lt;=QUARTILE(Data!X$4:X$195,3),3,4)))</f>
        <v>2</v>
      </c>
      <c r="Y148" s="30">
        <f>IF(Data!Y148&lt;=QUARTILE(Data!Y$4:Y$195,1),1,IF(Data!Y148&lt;=MEDIAN(Data!Y$4:Y$195),2,IF(Data!Y148&lt;=QUARTILE(Data!Y$4:Y$195,3),3,4)))</f>
        <v>2</v>
      </c>
      <c r="Z148" s="30">
        <f>IF(Data!Z148&lt;=QUARTILE(Data!Z$4:Z$195,1),1,IF(Data!Z148&lt;=MEDIAN(Data!Z$4:Z$195),2,IF(Data!Z148&lt;=QUARTILE(Data!Z$4:Z$195,3),3,4)))</f>
        <v>3</v>
      </c>
      <c r="AA148" s="25">
        <f>IF(Data!AA148&lt;=QUARTILE(Data!AA$4:AA$195,1),1,IF(Data!AA148&lt;=MEDIAN(Data!AA$4:AA$195),2,IF(Data!AA148&lt;=QUARTILE(Data!AA$4:AA$195,3),3,4)))</f>
        <v>3</v>
      </c>
      <c r="AB148" s="22">
        <f>IF(Data!AB148&lt;=QUARTILE(Data!AB$4:AB$195,1),1,IF(Data!AB148&lt;=MEDIAN(Data!AB$4:AB$195),2,IF(Data!AB148&lt;=QUARTILE(Data!AB$4:AB$195,3),3,4)))</f>
        <v>3</v>
      </c>
      <c r="AC148" s="25">
        <f>IF(Data!AC148&lt;=QUARTILE(Data!AC$4:AC$195,1),1,IF(Data!AC148&lt;=MEDIAN(Data!AC$4:AC$195),2,IF(Data!AC148&lt;=QUARTILE(Data!AC$4:AC$195,3),3,4)))</f>
        <v>3</v>
      </c>
      <c r="AD148" s="22">
        <f>IF(Data!AD148&lt;=QUARTILE(Data!AD$4:AD$195,1),1,IF(Data!AD148&lt;=MEDIAN(Data!AD$4:AD$195),2,IF(Data!AD148&lt;=QUARTILE(Data!AD$4:AD$195,3),3,4)))</f>
        <v>3</v>
      </c>
      <c r="AE148" s="28">
        <f>IF(Data!AE148&lt;=QUARTILE(Data!AE$4:AE$195,1),1,IF(Data!AE148&lt;=MEDIAN(Data!AE$4:AE$195),2,IF(Data!AE148&lt;=QUARTILE(Data!AE$4:AE$195,3),3,4)))</f>
        <v>4</v>
      </c>
      <c r="AF148" s="28">
        <f>IF(Data!AF148&lt;=QUARTILE(Data!AF$4:AF$195,1),1,IF(Data!AF148&lt;=MEDIAN(Data!AF$4:AF$195),2,IF(Data!AF148&lt;=QUARTILE(Data!AF$4:AF$195,3),3,4)))</f>
        <v>3</v>
      </c>
      <c r="AG148" s="28">
        <f>IF(Data!AG148&lt;=QUARTILE(Data!AG$4:AG$195,1),1,IF(Data!AG148&lt;=MEDIAN(Data!AG$4:AG$195),2,IF(Data!AG148&lt;=QUARTILE(Data!AG$4:AG$195,3),3,4)))</f>
        <v>1</v>
      </c>
      <c r="AH148" s="22">
        <f>IF(Data!AH148&lt;=QUARTILE(Data!AH$4:AH$195,1),1,IF(Data!AH148&lt;=MEDIAN(Data!AH$4:AH$195),2,IF(Data!AH148&lt;=QUARTILE(Data!AH$4:AH$195,3),3,4)))</f>
        <v>2</v>
      </c>
      <c r="AI148" s="25">
        <f>IF(Data!AI148&lt;=QUARTILE(Data!AI$4:AI$195,1),1,IF(Data!AI148&lt;=MEDIAN(Data!AI$4:AI$195),2,IF(Data!AI148&lt;=QUARTILE(Data!AI$4:AI$195,3),3,4)))</f>
        <v>4</v>
      </c>
      <c r="AJ148" s="22">
        <f>IF(Data!AJ148&lt;=QUARTILE(Data!AJ$4:AJ$195,1),1,IF(Data!AJ148&lt;=MEDIAN(Data!AJ$4:AJ$195),2,IF(Data!AJ148&lt;=QUARTILE(Data!AJ$4:AJ$195,3),3,4)))</f>
        <v>4</v>
      </c>
      <c r="AK148" s="25">
        <f>IF(Data!AK148&lt;=QUARTILE(Data!AK$4:AK$195,1),1,IF(Data!AK148&lt;=MEDIAN(Data!AK$4:AK$195),2,IF(Data!AK148&lt;=QUARTILE(Data!AK$4:AK$195,3),3,4)))</f>
        <v>2</v>
      </c>
      <c r="AL148" s="28">
        <f>IF(Data!AL148&lt;=QUARTILE(Data!AL$4:AL$195,1),1,IF(Data!AL148&lt;=MEDIAN(Data!AL$4:AL$195),2,IF(Data!AL148&lt;=QUARTILE(Data!AL$4:AL$195,3),3,4)))</f>
        <v>2</v>
      </c>
      <c r="AM148" s="28">
        <f>IF(Data!AM148&lt;=QUARTILE(Data!AM$4:AM$195,1),1,IF(Data!AM148&lt;=MEDIAN(Data!AM$4:AM$195),2,IF(Data!AM148&lt;=QUARTILE(Data!AM$4:AM$195,3),3,4)))</f>
        <v>4</v>
      </c>
      <c r="AN148" s="22">
        <f>IF(Data!AN148&lt;=QUARTILE(Data!AN$4:AN$195,1),1,IF(Data!AN148&lt;=MEDIAN(Data!AN$4:AN$195),2,IF(Data!AN148&lt;=QUARTILE(Data!AN$4:AN$195,3),3,4)))</f>
        <v>4</v>
      </c>
      <c r="AO148" s="28">
        <f>IF(Data!AO148&lt;=QUARTILE(Data!AO$4:AO$195,1),1,IF(Data!AO148&lt;=MEDIAN(Data!AO$4:AO$195),2,IF(Data!AO148&lt;=QUARTILE(Data!AO$4:AO$195,3),3,4)))</f>
        <v>3</v>
      </c>
      <c r="AP148" s="28">
        <f>IF(Data!AP148&lt;=QUARTILE(Data!AP$4:AP$195,1),1,IF(Data!AP148&lt;=MEDIAN(Data!AP$4:AP$195),2,IF(Data!AP148&lt;=QUARTILE(Data!AP$4:AP$195,3),3,4)))</f>
        <v>4</v>
      </c>
      <c r="AQ148" s="28">
        <f>IF(Data!AQ148&lt;=QUARTILE(Data!AQ$4:AQ$195,1),1,IF(Data!AQ148&lt;=MEDIAN(Data!AQ$4:AQ$195),2,IF(Data!AQ148&lt;=QUARTILE(Data!AQ$4:AQ$195,3),3,4)))</f>
        <v>2</v>
      </c>
      <c r="AR148" s="28">
        <f>IF(Data!AR148&lt;=QUARTILE(Data!AR$4:AR$195,1),1,IF(Data!AR148&lt;=MEDIAN(Data!AR$4:AR$195),2,IF(Data!AR148&lt;=QUARTILE(Data!AR$4:AR$195,3),3,4)))</f>
        <v>3</v>
      </c>
      <c r="AS148" s="28">
        <f>IF(Data!AS148&lt;=QUARTILE(Data!AS$4:AS$195,1),1,IF(Data!AS148&lt;=MEDIAN(Data!AS$4:AS$195),2,IF(Data!AS148&lt;=QUARTILE(Data!AS$4:AS$195,3),3,4)))</f>
        <v>3</v>
      </c>
      <c r="AT148" s="28">
        <f>IF(Data!AT148&lt;=QUARTILE(Data!AT$4:AT$195,1),1,IF(Data!AT148&lt;=MEDIAN(Data!AT$4:AT$195),2,IF(Data!AT148&lt;=QUARTILE(Data!AT$4:AT$195,3),3,4)))</f>
        <v>4</v>
      </c>
      <c r="AU148" s="22">
        <f>IF(Data!AU148&lt;=QUARTILE(Data!AU$4:AU$195,1),1,IF(Data!AU148&lt;=MEDIAN(Data!AU$4:AU$195),2,IF(Data!AU148&lt;=QUARTILE(Data!AU$4:AU$195,3),3,4)))</f>
        <v>4</v>
      </c>
      <c r="AV148" s="25">
        <f>IF(Data!AV148&lt;=QUARTILE(Data!AV$4:AV$195,1),1,IF(Data!AV148&lt;=MEDIAN(Data!AV$4:AV$195),2,IF(Data!AV148&lt;=QUARTILE(Data!AV$4:AV$195,3),3,4)))</f>
        <v>4</v>
      </c>
      <c r="AW148" s="28">
        <f>IF(Data!AW148&lt;=QUARTILE(Data!AW$4:AW$195,1),1,IF(Data!AW148&lt;=MEDIAN(Data!AW$4:AW$195),2,IF(Data!AW148&lt;=QUARTILE(Data!AW$4:AW$195,3),3,4)))</f>
        <v>2</v>
      </c>
      <c r="AX148" s="28">
        <f>IF(Data!AX148&lt;=QUARTILE(Data!AX$4:AX$195,1),1,IF(Data!AX148&lt;=MEDIAN(Data!AX$4:AX$195),2,IF(Data!AX148&lt;=QUARTILE(Data!AX$4:AX$195,3),3,4)))</f>
        <v>2</v>
      </c>
      <c r="AY148" s="22">
        <f>IF(Data!AY148&lt;=QUARTILE(Data!AY$4:AY$195,1),1,IF(Data!AY148&lt;=MEDIAN(Data!AY$4:AY$195),2,IF(Data!AY148&lt;=QUARTILE(Data!AY$4:AY$195,3),3,4)))</f>
        <v>2</v>
      </c>
      <c r="AZ148" s="25">
        <f>IF(Data!AZ148&lt;=QUARTILE(Data!AZ$4:AZ$195,1),1,IF(Data!AZ148&lt;=MEDIAN(Data!AZ$4:AZ$195),2,IF(Data!AZ148&lt;=QUARTILE(Data!AZ$4:AZ$195,3),3,4)))</f>
        <v>2</v>
      </c>
      <c r="BA148" s="22">
        <f>IF(Data!BA148&lt;=QUARTILE(Data!BA$4:BA$195,1),1,IF(Data!BA148&lt;=MEDIAN(Data!BA$4:BA$195),2,IF(Data!BA148&lt;=QUARTILE(Data!BA$4:BA$195,3),3,4)))</f>
        <v>4</v>
      </c>
    </row>
    <row r="149" spans="1:53" x14ac:dyDescent="0.25">
      <c r="A149" s="4" t="s">
        <v>23</v>
      </c>
      <c r="B149" s="40">
        <v>2005</v>
      </c>
      <c r="C149" s="25">
        <v>9</v>
      </c>
      <c r="D149" s="28">
        <v>7</v>
      </c>
      <c r="E149" s="77" t="s">
        <v>96</v>
      </c>
      <c r="F149" s="28">
        <v>-3.5</v>
      </c>
      <c r="G149" s="28">
        <v>-1.4</v>
      </c>
      <c r="H149" s="22">
        <v>-2.1</v>
      </c>
      <c r="I149" s="25">
        <f>IF(Data!I149&lt;=QUARTILE(Data!I$4:I$195,1),1,IF(Data!I149&lt;=MEDIAN(Data!I$4:I$195),2,IF(Data!I149&lt;=QUARTILE(Data!I$4:I$195,3),3,4)))</f>
        <v>2</v>
      </c>
      <c r="J149" s="28">
        <f>IF(Data!J149&lt;=QUARTILE(Data!J$4:J$195,1),1,IF(Data!J149&lt;=MEDIAN(Data!J$4:J$195),2,IF(Data!J149&lt;=QUARTILE(Data!J$4:J$195,3),3,4)))</f>
        <v>1</v>
      </c>
      <c r="K149" s="28">
        <f>IF(Data!K149&lt;=QUARTILE(Data!K$4:K$195,1),1,IF(Data!K149&lt;=MEDIAN(Data!K$4:K$195),2,IF(Data!K149&lt;=QUARTILE(Data!K$4:K$195,3),3,4)))</f>
        <v>1</v>
      </c>
      <c r="L149" s="22">
        <f>IF(Data!L149&lt;=QUARTILE(Data!L$4:L$195,1),1,IF(Data!L149&lt;=MEDIAN(Data!L$4:L$195),2,IF(Data!L149&lt;=QUARTILE(Data!L$4:L$195,3),3,4)))</f>
        <v>2</v>
      </c>
      <c r="M149" s="28">
        <f>IF(Data!M149&lt;=QUARTILE(Data!M$4:M$195,1),1,IF(Data!M149&lt;=MEDIAN(Data!M$4:M$195),2,IF(Data!M149&lt;=QUARTILE(Data!M$4:M$195,3),3,4)))</f>
        <v>3</v>
      </c>
      <c r="N149" s="28">
        <f>IF(Data!N149&lt;=QUARTILE(Data!N$4:N$195,1),1,IF(Data!N149&lt;=MEDIAN(Data!N$4:N$195),2,IF(Data!N149&lt;=QUARTILE(Data!N$4:N$195,3),3,4)))</f>
        <v>2</v>
      </c>
      <c r="O149" s="28">
        <f>IF(Data!O149&lt;=QUARTILE(Data!O$4:O$195,1),1,IF(Data!O149&lt;=MEDIAN(Data!O$4:O$195),2,IF(Data!O149&lt;=QUARTILE(Data!O$4:O$195,3),3,4)))</f>
        <v>2</v>
      </c>
      <c r="P149" s="28">
        <f>IF(Data!P149&lt;=QUARTILE(Data!P$4:P$195,1),1,IF(Data!P149&lt;=MEDIAN(Data!P$4:P$195),2,IF(Data!P149&lt;=QUARTILE(Data!P$4:P$195,3),3,4)))</f>
        <v>2</v>
      </c>
      <c r="Q149" s="28">
        <f>IF(Data!Q149&lt;=QUARTILE(Data!Q$4:Q$195,1),1,IF(Data!Q149&lt;=MEDIAN(Data!Q$4:Q$195),2,IF(Data!Q149&lt;=QUARTILE(Data!Q$4:Q$195,3),3,4)))</f>
        <v>2</v>
      </c>
      <c r="R149" s="28">
        <f>IF(Data!R149&lt;=QUARTILE(Data!R$4:R$195,1),1,IF(Data!R149&lt;=MEDIAN(Data!R$4:R$195),2,IF(Data!R149&lt;=QUARTILE(Data!R$4:R$195,3),3,4)))</f>
        <v>3</v>
      </c>
      <c r="S149" s="28">
        <f>IF(Data!S149&lt;=QUARTILE(Data!S$4:S$195,1),1,IF(Data!S149&lt;=MEDIAN(Data!S$4:S$195),2,IF(Data!S149&lt;=QUARTILE(Data!S$4:S$195,3),3,4)))</f>
        <v>4</v>
      </c>
      <c r="T149" s="22">
        <f>IF(Data!T149&lt;=QUARTILE(Data!T$4:T$195,1),1,IF(Data!T149&lt;=MEDIAN(Data!T$4:T$195),2,IF(Data!T149&lt;=QUARTILE(Data!T$4:T$195,3),3,4)))</f>
        <v>4</v>
      </c>
      <c r="U149" s="25">
        <f>IF(Data!U149&lt;=QUARTILE(Data!U$4:U$195,1),1,IF(Data!U149&lt;=MEDIAN(Data!U$4:U$195),2,IF(Data!U149&lt;=QUARTILE(Data!U$4:U$195,3),3,4)))</f>
        <v>1</v>
      </c>
      <c r="V149" s="28">
        <f>IF(Data!V149&lt;=QUARTILE(Data!V$4:V$195,1),1,IF(Data!V149&lt;=MEDIAN(Data!V$4:V$195),2,IF(Data!V149&lt;=QUARTILE(Data!V$4:V$195,3),3,4)))</f>
        <v>1</v>
      </c>
      <c r="W149" s="28">
        <f>IF(Data!W149&lt;=QUARTILE(Data!W$4:W$195,1),1,IF(Data!W149&lt;=MEDIAN(Data!W$4:W$195),2,IF(Data!W149&lt;=QUARTILE(Data!W$4:W$195,3),3,4)))</f>
        <v>2</v>
      </c>
      <c r="X149" s="22">
        <f>IF(Data!X149&lt;=QUARTILE(Data!X$4:X$195,1),1,IF(Data!X149&lt;=MEDIAN(Data!X$4:X$195),2,IF(Data!X149&lt;=QUARTILE(Data!X$4:X$195,3),3,4)))</f>
        <v>1</v>
      </c>
      <c r="Y149" s="30">
        <f>IF(Data!Y149&lt;=QUARTILE(Data!Y$4:Y$195,1),1,IF(Data!Y149&lt;=MEDIAN(Data!Y$4:Y$195),2,IF(Data!Y149&lt;=QUARTILE(Data!Y$4:Y$195,3),3,4)))</f>
        <v>2</v>
      </c>
      <c r="Z149" s="30">
        <f>IF(Data!Z149&lt;=QUARTILE(Data!Z$4:Z$195,1),1,IF(Data!Z149&lt;=MEDIAN(Data!Z$4:Z$195),2,IF(Data!Z149&lt;=QUARTILE(Data!Z$4:Z$195,3),3,4)))</f>
        <v>3</v>
      </c>
      <c r="AA149" s="25">
        <f>IF(Data!AA149&lt;=QUARTILE(Data!AA$4:AA$195,1),1,IF(Data!AA149&lt;=MEDIAN(Data!AA$4:AA$195),2,IF(Data!AA149&lt;=QUARTILE(Data!AA$4:AA$195,3),3,4)))</f>
        <v>3</v>
      </c>
      <c r="AB149" s="22">
        <f>IF(Data!AB149&lt;=QUARTILE(Data!AB$4:AB$195,1),1,IF(Data!AB149&lt;=MEDIAN(Data!AB$4:AB$195),2,IF(Data!AB149&lt;=QUARTILE(Data!AB$4:AB$195,3),3,4)))</f>
        <v>3</v>
      </c>
      <c r="AC149" s="25">
        <f>IF(Data!AC149&lt;=QUARTILE(Data!AC$4:AC$195,1),1,IF(Data!AC149&lt;=MEDIAN(Data!AC$4:AC$195),2,IF(Data!AC149&lt;=QUARTILE(Data!AC$4:AC$195,3),3,4)))</f>
        <v>3</v>
      </c>
      <c r="AD149" s="22">
        <f>IF(Data!AD149&lt;=QUARTILE(Data!AD$4:AD$195,1),1,IF(Data!AD149&lt;=MEDIAN(Data!AD$4:AD$195),2,IF(Data!AD149&lt;=QUARTILE(Data!AD$4:AD$195,3),3,4)))</f>
        <v>3</v>
      </c>
      <c r="AE149" s="28">
        <f>IF(Data!AE149&lt;=QUARTILE(Data!AE$4:AE$195,1),1,IF(Data!AE149&lt;=MEDIAN(Data!AE$4:AE$195),2,IF(Data!AE149&lt;=QUARTILE(Data!AE$4:AE$195,3),3,4)))</f>
        <v>3</v>
      </c>
      <c r="AF149" s="28">
        <f>IF(Data!AF149&lt;=QUARTILE(Data!AF$4:AF$195,1),1,IF(Data!AF149&lt;=MEDIAN(Data!AF$4:AF$195),2,IF(Data!AF149&lt;=QUARTILE(Data!AF$4:AF$195,3),3,4)))</f>
        <v>2</v>
      </c>
      <c r="AG149" s="28">
        <f>IF(Data!AG149&lt;=QUARTILE(Data!AG$4:AG$195,1),1,IF(Data!AG149&lt;=MEDIAN(Data!AG$4:AG$195),2,IF(Data!AG149&lt;=QUARTILE(Data!AG$4:AG$195,3),3,4)))</f>
        <v>4</v>
      </c>
      <c r="AH149" s="22">
        <f>IF(Data!AH149&lt;=QUARTILE(Data!AH$4:AH$195,1),1,IF(Data!AH149&lt;=MEDIAN(Data!AH$4:AH$195),2,IF(Data!AH149&lt;=QUARTILE(Data!AH$4:AH$195,3),3,4)))</f>
        <v>4</v>
      </c>
      <c r="AI149" s="25">
        <f>IF(Data!AI149&lt;=QUARTILE(Data!AI$4:AI$195,1),1,IF(Data!AI149&lt;=MEDIAN(Data!AI$4:AI$195),2,IF(Data!AI149&lt;=QUARTILE(Data!AI$4:AI$195,3),3,4)))</f>
        <v>3</v>
      </c>
      <c r="AJ149" s="22">
        <f>IF(Data!AJ149&lt;=QUARTILE(Data!AJ$4:AJ$195,1),1,IF(Data!AJ149&lt;=MEDIAN(Data!AJ$4:AJ$195),2,IF(Data!AJ149&lt;=QUARTILE(Data!AJ$4:AJ$195,3),3,4)))</f>
        <v>3</v>
      </c>
      <c r="AK149" s="25">
        <f>IF(Data!AK149&lt;=QUARTILE(Data!AK$4:AK$195,1),1,IF(Data!AK149&lt;=MEDIAN(Data!AK$4:AK$195),2,IF(Data!AK149&lt;=QUARTILE(Data!AK$4:AK$195,3),3,4)))</f>
        <v>3</v>
      </c>
      <c r="AL149" s="28">
        <f>IF(Data!AL149&lt;=QUARTILE(Data!AL$4:AL$195,1),1,IF(Data!AL149&lt;=MEDIAN(Data!AL$4:AL$195),2,IF(Data!AL149&lt;=QUARTILE(Data!AL$4:AL$195,3),3,4)))</f>
        <v>2</v>
      </c>
      <c r="AM149" s="28">
        <f>IF(Data!AM149&lt;=QUARTILE(Data!AM$4:AM$195,1),1,IF(Data!AM149&lt;=MEDIAN(Data!AM$4:AM$195),2,IF(Data!AM149&lt;=QUARTILE(Data!AM$4:AM$195,3),3,4)))</f>
        <v>3</v>
      </c>
      <c r="AN149" s="22">
        <f>IF(Data!AN149&lt;=QUARTILE(Data!AN$4:AN$195,1),1,IF(Data!AN149&lt;=MEDIAN(Data!AN$4:AN$195),2,IF(Data!AN149&lt;=QUARTILE(Data!AN$4:AN$195,3),3,4)))</f>
        <v>3</v>
      </c>
      <c r="AO149" s="28">
        <f>IF(Data!AO149&lt;=QUARTILE(Data!AO$4:AO$195,1),1,IF(Data!AO149&lt;=MEDIAN(Data!AO$4:AO$195),2,IF(Data!AO149&lt;=QUARTILE(Data!AO$4:AO$195,3),3,4)))</f>
        <v>3</v>
      </c>
      <c r="AP149" s="28">
        <f>IF(Data!AP149&lt;=QUARTILE(Data!AP$4:AP$195,1),1,IF(Data!AP149&lt;=MEDIAN(Data!AP$4:AP$195),2,IF(Data!AP149&lt;=QUARTILE(Data!AP$4:AP$195,3),3,4)))</f>
        <v>3</v>
      </c>
      <c r="AQ149" s="28">
        <f>IF(Data!AQ149&lt;=QUARTILE(Data!AQ$4:AQ$195,1),1,IF(Data!AQ149&lt;=MEDIAN(Data!AQ$4:AQ$195),2,IF(Data!AQ149&lt;=QUARTILE(Data!AQ$4:AQ$195,3),3,4)))</f>
        <v>2</v>
      </c>
      <c r="AR149" s="28">
        <f>IF(Data!AR149&lt;=QUARTILE(Data!AR$4:AR$195,1),1,IF(Data!AR149&lt;=MEDIAN(Data!AR$4:AR$195),2,IF(Data!AR149&lt;=QUARTILE(Data!AR$4:AR$195,3),3,4)))</f>
        <v>3</v>
      </c>
      <c r="AS149" s="28">
        <f>IF(Data!AS149&lt;=QUARTILE(Data!AS$4:AS$195,1),1,IF(Data!AS149&lt;=MEDIAN(Data!AS$4:AS$195),2,IF(Data!AS149&lt;=QUARTILE(Data!AS$4:AS$195,3),3,4)))</f>
        <v>3</v>
      </c>
      <c r="AT149" s="28">
        <f>IF(Data!AT149&lt;=QUARTILE(Data!AT$4:AT$195,1),1,IF(Data!AT149&lt;=MEDIAN(Data!AT$4:AT$195),2,IF(Data!AT149&lt;=QUARTILE(Data!AT$4:AT$195,3),3,4)))</f>
        <v>2</v>
      </c>
      <c r="AU149" s="22">
        <f>IF(Data!AU149&lt;=QUARTILE(Data!AU$4:AU$195,1),1,IF(Data!AU149&lt;=MEDIAN(Data!AU$4:AU$195),2,IF(Data!AU149&lt;=QUARTILE(Data!AU$4:AU$195,3),3,4)))</f>
        <v>2</v>
      </c>
      <c r="AV149" s="25">
        <f>IF(Data!AV149&lt;=QUARTILE(Data!AV$4:AV$195,1),1,IF(Data!AV149&lt;=MEDIAN(Data!AV$4:AV$195),2,IF(Data!AV149&lt;=QUARTILE(Data!AV$4:AV$195,3),3,4)))</f>
        <v>3</v>
      </c>
      <c r="AW149" s="28">
        <f>IF(Data!AW149&lt;=QUARTILE(Data!AW$4:AW$195,1),1,IF(Data!AW149&lt;=MEDIAN(Data!AW$4:AW$195),2,IF(Data!AW149&lt;=QUARTILE(Data!AW$4:AW$195,3),3,4)))</f>
        <v>3</v>
      </c>
      <c r="AX149" s="28">
        <f>IF(Data!AX149&lt;=QUARTILE(Data!AX$4:AX$195,1),1,IF(Data!AX149&lt;=MEDIAN(Data!AX$4:AX$195),2,IF(Data!AX149&lt;=QUARTILE(Data!AX$4:AX$195,3),3,4)))</f>
        <v>3</v>
      </c>
      <c r="AY149" s="22">
        <f>IF(Data!AY149&lt;=QUARTILE(Data!AY$4:AY$195,1),1,IF(Data!AY149&lt;=MEDIAN(Data!AY$4:AY$195),2,IF(Data!AY149&lt;=QUARTILE(Data!AY$4:AY$195,3),3,4)))</f>
        <v>2</v>
      </c>
      <c r="AZ149" s="25">
        <f>IF(Data!AZ149&lt;=QUARTILE(Data!AZ$4:AZ$195,1),1,IF(Data!AZ149&lt;=MEDIAN(Data!AZ$4:AZ$195),2,IF(Data!AZ149&lt;=QUARTILE(Data!AZ$4:AZ$195,3),3,4)))</f>
        <v>4</v>
      </c>
      <c r="BA149" s="22">
        <f>IF(Data!BA149&lt;=QUARTILE(Data!BA$4:BA$195,1),1,IF(Data!BA149&lt;=MEDIAN(Data!BA$4:BA$195),2,IF(Data!BA149&lt;=QUARTILE(Data!BA$4:BA$195,3),3,4)))</f>
        <v>2</v>
      </c>
    </row>
    <row r="150" spans="1:53" x14ac:dyDescent="0.25">
      <c r="A150" s="4" t="s">
        <v>3</v>
      </c>
      <c r="B150" s="40">
        <v>2005</v>
      </c>
      <c r="C150" s="25">
        <v>10</v>
      </c>
      <c r="D150" s="28">
        <v>6</v>
      </c>
      <c r="E150" s="77" t="s">
        <v>97</v>
      </c>
      <c r="F150" s="28">
        <v>3.1</v>
      </c>
      <c r="G150" s="28">
        <v>3.7</v>
      </c>
      <c r="H150" s="22">
        <v>-0.5</v>
      </c>
      <c r="I150" s="25">
        <f>IF(Data!I150&lt;=QUARTILE(Data!I$4:I$195,1),1,IF(Data!I150&lt;=MEDIAN(Data!I$4:I$195),2,IF(Data!I150&lt;=QUARTILE(Data!I$4:I$195,3),3,4)))</f>
        <v>3</v>
      </c>
      <c r="J150" s="28">
        <f>IF(Data!J150&lt;=QUARTILE(Data!J$4:J$195,1),1,IF(Data!J150&lt;=MEDIAN(Data!J$4:J$195),2,IF(Data!J150&lt;=QUARTILE(Data!J$4:J$195,3),3,4)))</f>
        <v>4</v>
      </c>
      <c r="K150" s="28">
        <f>IF(Data!K150&lt;=QUARTILE(Data!K$4:K$195,1),1,IF(Data!K150&lt;=MEDIAN(Data!K$4:K$195),2,IF(Data!K150&lt;=QUARTILE(Data!K$4:K$195,3),3,4)))</f>
        <v>4</v>
      </c>
      <c r="L150" s="22">
        <f>IF(Data!L150&lt;=QUARTILE(Data!L$4:L$195,1),1,IF(Data!L150&lt;=MEDIAN(Data!L$4:L$195),2,IF(Data!L150&lt;=QUARTILE(Data!L$4:L$195,3),3,4)))</f>
        <v>4</v>
      </c>
      <c r="M150" s="28">
        <f>IF(Data!M150&lt;=QUARTILE(Data!M$4:M$195,1),1,IF(Data!M150&lt;=MEDIAN(Data!M$4:M$195),2,IF(Data!M150&lt;=QUARTILE(Data!M$4:M$195,3),3,4)))</f>
        <v>4</v>
      </c>
      <c r="N150" s="28">
        <f>IF(Data!N150&lt;=QUARTILE(Data!N$4:N$195,1),1,IF(Data!N150&lt;=MEDIAN(Data!N$4:N$195),2,IF(Data!N150&lt;=QUARTILE(Data!N$4:N$195,3),3,4)))</f>
        <v>4</v>
      </c>
      <c r="O150" s="28">
        <f>IF(Data!O150&lt;=QUARTILE(Data!O$4:O$195,1),1,IF(Data!O150&lt;=MEDIAN(Data!O$4:O$195),2,IF(Data!O150&lt;=QUARTILE(Data!O$4:O$195,3),3,4)))</f>
        <v>4</v>
      </c>
      <c r="P150" s="28">
        <f>IF(Data!P150&lt;=QUARTILE(Data!P$4:P$195,1),1,IF(Data!P150&lt;=MEDIAN(Data!P$4:P$195),2,IF(Data!P150&lt;=QUARTILE(Data!P$4:P$195,3),3,4)))</f>
        <v>4</v>
      </c>
      <c r="Q150" s="28">
        <f>IF(Data!Q150&lt;=QUARTILE(Data!Q$4:Q$195,1),1,IF(Data!Q150&lt;=MEDIAN(Data!Q$4:Q$195),2,IF(Data!Q150&lt;=QUARTILE(Data!Q$4:Q$195,3),3,4)))</f>
        <v>4</v>
      </c>
      <c r="R150" s="28">
        <f>IF(Data!R150&lt;=QUARTILE(Data!R$4:R$195,1),1,IF(Data!R150&lt;=MEDIAN(Data!R$4:R$195),2,IF(Data!R150&lt;=QUARTILE(Data!R$4:R$195,3),3,4)))</f>
        <v>4</v>
      </c>
      <c r="S150" s="28">
        <f>IF(Data!S150&lt;=QUARTILE(Data!S$4:S$195,1),1,IF(Data!S150&lt;=MEDIAN(Data!S$4:S$195),2,IF(Data!S150&lt;=QUARTILE(Data!S$4:S$195,3),3,4)))</f>
        <v>1</v>
      </c>
      <c r="T150" s="22">
        <f>IF(Data!T150&lt;=QUARTILE(Data!T$4:T$195,1),1,IF(Data!T150&lt;=MEDIAN(Data!T$4:T$195),2,IF(Data!T150&lt;=QUARTILE(Data!T$4:T$195,3),3,4)))</f>
        <v>2</v>
      </c>
      <c r="U150" s="25">
        <f>IF(Data!U150&lt;=QUARTILE(Data!U$4:U$195,1),1,IF(Data!U150&lt;=MEDIAN(Data!U$4:U$195),2,IF(Data!U150&lt;=QUARTILE(Data!U$4:U$195,3),3,4)))</f>
        <v>3</v>
      </c>
      <c r="V150" s="28">
        <f>IF(Data!V150&lt;=QUARTILE(Data!V$4:V$195,1),1,IF(Data!V150&lt;=MEDIAN(Data!V$4:V$195),2,IF(Data!V150&lt;=QUARTILE(Data!V$4:V$195,3),3,4)))</f>
        <v>1</v>
      </c>
      <c r="W150" s="28">
        <f>IF(Data!W150&lt;=QUARTILE(Data!W$4:W$195,1),1,IF(Data!W150&lt;=MEDIAN(Data!W$4:W$195),2,IF(Data!W150&lt;=QUARTILE(Data!W$4:W$195,3),3,4)))</f>
        <v>3</v>
      </c>
      <c r="X150" s="22">
        <f>IF(Data!X150&lt;=QUARTILE(Data!X$4:X$195,1),1,IF(Data!X150&lt;=MEDIAN(Data!X$4:X$195),2,IF(Data!X150&lt;=QUARTILE(Data!X$4:X$195,3),3,4)))</f>
        <v>3</v>
      </c>
      <c r="Y150" s="30">
        <f>IF(Data!Y150&lt;=QUARTILE(Data!Y$4:Y$195,1),1,IF(Data!Y150&lt;=MEDIAN(Data!Y$4:Y$195),2,IF(Data!Y150&lt;=QUARTILE(Data!Y$4:Y$195,3),3,4)))</f>
        <v>2</v>
      </c>
      <c r="Z150" s="30">
        <f>IF(Data!Z150&lt;=QUARTILE(Data!Z$4:Z$195,1),1,IF(Data!Z150&lt;=MEDIAN(Data!Z$4:Z$195),2,IF(Data!Z150&lt;=QUARTILE(Data!Z$4:Z$195,3),3,4)))</f>
        <v>1</v>
      </c>
      <c r="AA150" s="25">
        <f>IF(Data!AA150&lt;=QUARTILE(Data!AA$4:AA$195,1),1,IF(Data!AA150&lt;=MEDIAN(Data!AA$4:AA$195),2,IF(Data!AA150&lt;=QUARTILE(Data!AA$4:AA$195,3),3,4)))</f>
        <v>3</v>
      </c>
      <c r="AB150" s="22">
        <f>IF(Data!AB150&lt;=QUARTILE(Data!AB$4:AB$195,1),1,IF(Data!AB150&lt;=MEDIAN(Data!AB$4:AB$195),2,IF(Data!AB150&lt;=QUARTILE(Data!AB$4:AB$195,3),3,4)))</f>
        <v>3</v>
      </c>
      <c r="AC150" s="25">
        <f>IF(Data!AC150&lt;=QUARTILE(Data!AC$4:AC$195,1),1,IF(Data!AC150&lt;=MEDIAN(Data!AC$4:AC$195),2,IF(Data!AC150&lt;=QUARTILE(Data!AC$4:AC$195,3),3,4)))</f>
        <v>3</v>
      </c>
      <c r="AD150" s="22">
        <f>IF(Data!AD150&lt;=QUARTILE(Data!AD$4:AD$195,1),1,IF(Data!AD150&lt;=MEDIAN(Data!AD$4:AD$195),2,IF(Data!AD150&lt;=QUARTILE(Data!AD$4:AD$195,3),3,4)))</f>
        <v>3</v>
      </c>
      <c r="AE150" s="28">
        <f>IF(Data!AE150&lt;=QUARTILE(Data!AE$4:AE$195,1),1,IF(Data!AE150&lt;=MEDIAN(Data!AE$4:AE$195),2,IF(Data!AE150&lt;=QUARTILE(Data!AE$4:AE$195,3),3,4)))</f>
        <v>2</v>
      </c>
      <c r="AF150" s="28">
        <f>IF(Data!AF150&lt;=QUARTILE(Data!AF$4:AF$195,1),1,IF(Data!AF150&lt;=MEDIAN(Data!AF$4:AF$195),2,IF(Data!AF150&lt;=QUARTILE(Data!AF$4:AF$195,3),3,4)))</f>
        <v>2</v>
      </c>
      <c r="AG150" s="28">
        <f>IF(Data!AG150&lt;=QUARTILE(Data!AG$4:AG$195,1),1,IF(Data!AG150&lt;=MEDIAN(Data!AG$4:AG$195),2,IF(Data!AG150&lt;=QUARTILE(Data!AG$4:AG$195,3),3,4)))</f>
        <v>1</v>
      </c>
      <c r="AH150" s="22">
        <f>IF(Data!AH150&lt;=QUARTILE(Data!AH$4:AH$195,1),1,IF(Data!AH150&lt;=MEDIAN(Data!AH$4:AH$195),2,IF(Data!AH150&lt;=QUARTILE(Data!AH$4:AH$195,3),3,4)))</f>
        <v>1</v>
      </c>
      <c r="AI150" s="25">
        <f>IF(Data!AI150&lt;=QUARTILE(Data!AI$4:AI$195,1),1,IF(Data!AI150&lt;=MEDIAN(Data!AI$4:AI$195),2,IF(Data!AI150&lt;=QUARTILE(Data!AI$4:AI$195,3),3,4)))</f>
        <v>2</v>
      </c>
      <c r="AJ150" s="22">
        <f>IF(Data!AJ150&lt;=QUARTILE(Data!AJ$4:AJ$195,1),1,IF(Data!AJ150&lt;=MEDIAN(Data!AJ$4:AJ$195),2,IF(Data!AJ150&lt;=QUARTILE(Data!AJ$4:AJ$195,3),3,4)))</f>
        <v>3</v>
      </c>
      <c r="AK150" s="25">
        <f>IF(Data!AK150&lt;=QUARTILE(Data!AK$4:AK$195,1),1,IF(Data!AK150&lt;=MEDIAN(Data!AK$4:AK$195),2,IF(Data!AK150&lt;=QUARTILE(Data!AK$4:AK$195,3),3,4)))</f>
        <v>2</v>
      </c>
      <c r="AL150" s="28">
        <f>IF(Data!AL150&lt;=QUARTILE(Data!AL$4:AL$195,1),1,IF(Data!AL150&lt;=MEDIAN(Data!AL$4:AL$195),2,IF(Data!AL150&lt;=QUARTILE(Data!AL$4:AL$195,3),3,4)))</f>
        <v>3</v>
      </c>
      <c r="AM150" s="28">
        <f>IF(Data!AM150&lt;=QUARTILE(Data!AM$4:AM$195,1),1,IF(Data!AM150&lt;=MEDIAN(Data!AM$4:AM$195),2,IF(Data!AM150&lt;=QUARTILE(Data!AM$4:AM$195,3),3,4)))</f>
        <v>2</v>
      </c>
      <c r="AN150" s="22">
        <f>IF(Data!AN150&lt;=QUARTILE(Data!AN$4:AN$195,1),1,IF(Data!AN150&lt;=MEDIAN(Data!AN$4:AN$195),2,IF(Data!AN150&lt;=QUARTILE(Data!AN$4:AN$195,3),3,4)))</f>
        <v>3</v>
      </c>
      <c r="AO150" s="28">
        <f>IF(Data!AO150&lt;=QUARTILE(Data!AO$4:AO$195,1),1,IF(Data!AO150&lt;=MEDIAN(Data!AO$4:AO$195),2,IF(Data!AO150&lt;=QUARTILE(Data!AO$4:AO$195,3),3,4)))</f>
        <v>2</v>
      </c>
      <c r="AP150" s="28">
        <f>IF(Data!AP150&lt;=QUARTILE(Data!AP$4:AP$195,1),1,IF(Data!AP150&lt;=MEDIAN(Data!AP$4:AP$195),2,IF(Data!AP150&lt;=QUARTILE(Data!AP$4:AP$195,3),3,4)))</f>
        <v>3</v>
      </c>
      <c r="AQ150" s="28">
        <f>IF(Data!AQ150&lt;=QUARTILE(Data!AQ$4:AQ$195,1),1,IF(Data!AQ150&lt;=MEDIAN(Data!AQ$4:AQ$195),2,IF(Data!AQ150&lt;=QUARTILE(Data!AQ$4:AQ$195,3),3,4)))</f>
        <v>4</v>
      </c>
      <c r="AR150" s="28">
        <f>IF(Data!AR150&lt;=QUARTILE(Data!AR$4:AR$195,1),1,IF(Data!AR150&lt;=MEDIAN(Data!AR$4:AR$195),2,IF(Data!AR150&lt;=QUARTILE(Data!AR$4:AR$195,3),3,4)))</f>
        <v>3</v>
      </c>
      <c r="AS150" s="28">
        <f>IF(Data!AS150&lt;=QUARTILE(Data!AS$4:AS$195,1),1,IF(Data!AS150&lt;=MEDIAN(Data!AS$4:AS$195),2,IF(Data!AS150&lt;=QUARTILE(Data!AS$4:AS$195,3),3,4)))</f>
        <v>3</v>
      </c>
      <c r="AT150" s="28">
        <f>IF(Data!AT150&lt;=QUARTILE(Data!AT$4:AT$195,1),1,IF(Data!AT150&lt;=MEDIAN(Data!AT$4:AT$195),2,IF(Data!AT150&lt;=QUARTILE(Data!AT$4:AT$195,3),3,4)))</f>
        <v>2</v>
      </c>
      <c r="AU150" s="22">
        <f>IF(Data!AU150&lt;=QUARTILE(Data!AU$4:AU$195,1),1,IF(Data!AU150&lt;=MEDIAN(Data!AU$4:AU$195),2,IF(Data!AU150&lt;=QUARTILE(Data!AU$4:AU$195,3),3,4)))</f>
        <v>2</v>
      </c>
      <c r="AV150" s="25">
        <f>IF(Data!AV150&lt;=QUARTILE(Data!AV$4:AV$195,1),1,IF(Data!AV150&lt;=MEDIAN(Data!AV$4:AV$195),2,IF(Data!AV150&lt;=QUARTILE(Data!AV$4:AV$195,3),3,4)))</f>
        <v>2</v>
      </c>
      <c r="AW150" s="28">
        <f>IF(Data!AW150&lt;=QUARTILE(Data!AW$4:AW$195,1),1,IF(Data!AW150&lt;=MEDIAN(Data!AW$4:AW$195),2,IF(Data!AW150&lt;=QUARTILE(Data!AW$4:AW$195,3),3,4)))</f>
        <v>1</v>
      </c>
      <c r="AX150" s="28">
        <f>IF(Data!AX150&lt;=QUARTILE(Data!AX$4:AX$195,1),1,IF(Data!AX150&lt;=MEDIAN(Data!AX$4:AX$195),2,IF(Data!AX150&lt;=QUARTILE(Data!AX$4:AX$195,3),3,4)))</f>
        <v>2</v>
      </c>
      <c r="AY150" s="22">
        <f>IF(Data!AY150&lt;=QUARTILE(Data!AY$4:AY$195,1),1,IF(Data!AY150&lt;=MEDIAN(Data!AY$4:AY$195),2,IF(Data!AY150&lt;=QUARTILE(Data!AY$4:AY$195,3),3,4)))</f>
        <v>2</v>
      </c>
      <c r="AZ150" s="25">
        <f>IF(Data!AZ150&lt;=QUARTILE(Data!AZ$4:AZ$195,1),1,IF(Data!AZ150&lt;=MEDIAN(Data!AZ$4:AZ$195),2,IF(Data!AZ150&lt;=QUARTILE(Data!AZ$4:AZ$195,3),3,4)))</f>
        <v>1</v>
      </c>
      <c r="BA150" s="22">
        <f>IF(Data!BA150&lt;=QUARTILE(Data!BA$4:BA$195,1),1,IF(Data!BA150&lt;=MEDIAN(Data!BA$4:BA$195),2,IF(Data!BA150&lt;=QUARTILE(Data!BA$4:BA$195,3),3,4)))</f>
        <v>1</v>
      </c>
    </row>
    <row r="151" spans="1:53" x14ac:dyDescent="0.25">
      <c r="A151" s="4" t="s">
        <v>27</v>
      </c>
      <c r="B151" s="40">
        <v>2005</v>
      </c>
      <c r="C151" s="25">
        <v>3</v>
      </c>
      <c r="D151" s="28">
        <v>13</v>
      </c>
      <c r="E151" s="77" t="s">
        <v>96</v>
      </c>
      <c r="F151" s="28">
        <v>-11.1</v>
      </c>
      <c r="G151" s="28">
        <v>-6.2</v>
      </c>
      <c r="H151" s="22">
        <v>-4.9000000000000004</v>
      </c>
      <c r="I151" s="25">
        <f>IF(Data!I151&lt;=QUARTILE(Data!I$4:I$195,1),1,IF(Data!I151&lt;=MEDIAN(Data!I$4:I$195),2,IF(Data!I151&lt;=QUARTILE(Data!I$4:I$195,3),3,4)))</f>
        <v>1</v>
      </c>
      <c r="J151" s="28">
        <f>IF(Data!J151&lt;=QUARTILE(Data!J$4:J$195,1),1,IF(Data!J151&lt;=MEDIAN(Data!J$4:J$195),2,IF(Data!J151&lt;=QUARTILE(Data!J$4:J$195,3),3,4)))</f>
        <v>2</v>
      </c>
      <c r="K151" s="28">
        <f>IF(Data!K151&lt;=QUARTILE(Data!K$4:K$195,1),1,IF(Data!K151&lt;=MEDIAN(Data!K$4:K$195),2,IF(Data!K151&lt;=QUARTILE(Data!K$4:K$195,3),3,4)))</f>
        <v>3</v>
      </c>
      <c r="L151" s="22">
        <f>IF(Data!L151&lt;=QUARTILE(Data!L$4:L$195,1),1,IF(Data!L151&lt;=MEDIAN(Data!L$4:L$195),2,IF(Data!L151&lt;=QUARTILE(Data!L$4:L$195,3),3,4)))</f>
        <v>3</v>
      </c>
      <c r="M151" s="28">
        <f>IF(Data!M151&lt;=QUARTILE(Data!M$4:M$195,1),1,IF(Data!M151&lt;=MEDIAN(Data!M$4:M$195),2,IF(Data!M151&lt;=QUARTILE(Data!M$4:M$195,3),3,4)))</f>
        <v>2</v>
      </c>
      <c r="N151" s="28">
        <f>IF(Data!N151&lt;=QUARTILE(Data!N$4:N$195,1),1,IF(Data!N151&lt;=MEDIAN(Data!N$4:N$195),2,IF(Data!N151&lt;=QUARTILE(Data!N$4:N$195,3),3,4)))</f>
        <v>3</v>
      </c>
      <c r="O151" s="28">
        <f>IF(Data!O151&lt;=QUARTILE(Data!O$4:O$195,1),1,IF(Data!O151&lt;=MEDIAN(Data!O$4:O$195),2,IF(Data!O151&lt;=QUARTILE(Data!O$4:O$195,3),3,4)))</f>
        <v>3</v>
      </c>
      <c r="P151" s="28">
        <f>IF(Data!P151&lt;=QUARTILE(Data!P$4:P$195,1),1,IF(Data!P151&lt;=MEDIAN(Data!P$4:P$195),2,IF(Data!P151&lt;=QUARTILE(Data!P$4:P$195,3),3,4)))</f>
        <v>1</v>
      </c>
      <c r="Q151" s="28">
        <f>IF(Data!Q151&lt;=QUARTILE(Data!Q$4:Q$195,1),1,IF(Data!Q151&lt;=MEDIAN(Data!Q$4:Q$195),2,IF(Data!Q151&lt;=QUARTILE(Data!Q$4:Q$195,3),3,4)))</f>
        <v>3</v>
      </c>
      <c r="R151" s="28">
        <f>IF(Data!R151&lt;=QUARTILE(Data!R$4:R$195,1),1,IF(Data!R151&lt;=MEDIAN(Data!R$4:R$195),2,IF(Data!R151&lt;=QUARTILE(Data!R$4:R$195,3),3,4)))</f>
        <v>1</v>
      </c>
      <c r="S151" s="28">
        <f>IF(Data!S151&lt;=QUARTILE(Data!S$4:S$195,1),1,IF(Data!S151&lt;=MEDIAN(Data!S$4:S$195),2,IF(Data!S151&lt;=QUARTILE(Data!S$4:S$195,3),3,4)))</f>
        <v>3</v>
      </c>
      <c r="T151" s="22">
        <f>IF(Data!T151&lt;=QUARTILE(Data!T$4:T$195,1),1,IF(Data!T151&lt;=MEDIAN(Data!T$4:T$195),2,IF(Data!T151&lt;=QUARTILE(Data!T$4:T$195,3),3,4)))</f>
        <v>3</v>
      </c>
      <c r="U151" s="25">
        <f>IF(Data!U151&lt;=QUARTILE(Data!U$4:U$195,1),1,IF(Data!U151&lt;=MEDIAN(Data!U$4:U$195),2,IF(Data!U151&lt;=QUARTILE(Data!U$4:U$195,3),3,4)))</f>
        <v>2</v>
      </c>
      <c r="V151" s="28">
        <f>IF(Data!V151&lt;=QUARTILE(Data!V$4:V$195,1),1,IF(Data!V151&lt;=MEDIAN(Data!V$4:V$195),2,IF(Data!V151&lt;=QUARTILE(Data!V$4:V$195,3),3,4)))</f>
        <v>2</v>
      </c>
      <c r="W151" s="28">
        <f>IF(Data!W151&lt;=QUARTILE(Data!W$4:W$195,1),1,IF(Data!W151&lt;=MEDIAN(Data!W$4:W$195),2,IF(Data!W151&lt;=QUARTILE(Data!W$4:W$195,3),3,4)))</f>
        <v>1</v>
      </c>
      <c r="X151" s="22">
        <f>IF(Data!X151&lt;=QUARTILE(Data!X$4:X$195,1),1,IF(Data!X151&lt;=MEDIAN(Data!X$4:X$195),2,IF(Data!X151&lt;=QUARTILE(Data!X$4:X$195,3),3,4)))</f>
        <v>2</v>
      </c>
      <c r="Y151" s="30">
        <f>IF(Data!Y151&lt;=QUARTILE(Data!Y$4:Y$195,1),1,IF(Data!Y151&lt;=MEDIAN(Data!Y$4:Y$195),2,IF(Data!Y151&lt;=QUARTILE(Data!Y$4:Y$195,3),3,4)))</f>
        <v>4</v>
      </c>
      <c r="Z151" s="30">
        <f>IF(Data!Z151&lt;=QUARTILE(Data!Z$4:Z$195,1),1,IF(Data!Z151&lt;=MEDIAN(Data!Z$4:Z$195),2,IF(Data!Z151&lt;=QUARTILE(Data!Z$4:Z$195,3),3,4)))</f>
        <v>4</v>
      </c>
      <c r="AA151" s="25">
        <f>IF(Data!AA151&lt;=QUARTILE(Data!AA$4:AA$195,1),1,IF(Data!AA151&lt;=MEDIAN(Data!AA$4:AA$195),2,IF(Data!AA151&lt;=QUARTILE(Data!AA$4:AA$195,3),3,4)))</f>
        <v>4</v>
      </c>
      <c r="AB151" s="22">
        <f>IF(Data!AB151&lt;=QUARTILE(Data!AB$4:AB$195,1),1,IF(Data!AB151&lt;=MEDIAN(Data!AB$4:AB$195),2,IF(Data!AB151&lt;=QUARTILE(Data!AB$4:AB$195,3),3,4)))</f>
        <v>3</v>
      </c>
      <c r="AC151" s="25">
        <f>IF(Data!AC151&lt;=QUARTILE(Data!AC$4:AC$195,1),1,IF(Data!AC151&lt;=MEDIAN(Data!AC$4:AC$195),2,IF(Data!AC151&lt;=QUARTILE(Data!AC$4:AC$195,3),3,4)))</f>
        <v>4</v>
      </c>
      <c r="AD151" s="22">
        <f>IF(Data!AD151&lt;=QUARTILE(Data!AD$4:AD$195,1),1,IF(Data!AD151&lt;=MEDIAN(Data!AD$4:AD$195),2,IF(Data!AD151&lt;=QUARTILE(Data!AD$4:AD$195,3),3,4)))</f>
        <v>3</v>
      </c>
      <c r="AE151" s="28">
        <f>IF(Data!AE151&lt;=QUARTILE(Data!AE$4:AE$195,1),1,IF(Data!AE151&lt;=MEDIAN(Data!AE$4:AE$195),2,IF(Data!AE151&lt;=QUARTILE(Data!AE$4:AE$195,3),3,4)))</f>
        <v>3</v>
      </c>
      <c r="AF151" s="28">
        <f>IF(Data!AF151&lt;=QUARTILE(Data!AF$4:AF$195,1),1,IF(Data!AF151&lt;=MEDIAN(Data!AF$4:AF$195),2,IF(Data!AF151&lt;=QUARTILE(Data!AF$4:AF$195,3),3,4)))</f>
        <v>3</v>
      </c>
      <c r="AG151" s="28">
        <f>IF(Data!AG151&lt;=QUARTILE(Data!AG$4:AG$195,1),1,IF(Data!AG151&lt;=MEDIAN(Data!AG$4:AG$195),2,IF(Data!AG151&lt;=QUARTILE(Data!AG$4:AG$195,3),3,4)))</f>
        <v>3</v>
      </c>
      <c r="AH151" s="22">
        <f>IF(Data!AH151&lt;=QUARTILE(Data!AH$4:AH$195,1),1,IF(Data!AH151&lt;=MEDIAN(Data!AH$4:AH$195),2,IF(Data!AH151&lt;=QUARTILE(Data!AH$4:AH$195,3),3,4)))</f>
        <v>2</v>
      </c>
      <c r="AI151" s="25">
        <f>IF(Data!AI151&lt;=QUARTILE(Data!AI$4:AI$195,1),1,IF(Data!AI151&lt;=MEDIAN(Data!AI$4:AI$195),2,IF(Data!AI151&lt;=QUARTILE(Data!AI$4:AI$195,3),3,4)))</f>
        <v>2</v>
      </c>
      <c r="AJ151" s="22">
        <f>IF(Data!AJ151&lt;=QUARTILE(Data!AJ$4:AJ$195,1),1,IF(Data!AJ151&lt;=MEDIAN(Data!AJ$4:AJ$195),2,IF(Data!AJ151&lt;=QUARTILE(Data!AJ$4:AJ$195,3),3,4)))</f>
        <v>2</v>
      </c>
      <c r="AK151" s="25">
        <f>IF(Data!AK151&lt;=QUARTILE(Data!AK$4:AK$195,1),1,IF(Data!AK151&lt;=MEDIAN(Data!AK$4:AK$195),2,IF(Data!AK151&lt;=QUARTILE(Data!AK$4:AK$195,3),3,4)))</f>
        <v>4</v>
      </c>
      <c r="AL151" s="28">
        <f>IF(Data!AL151&lt;=QUARTILE(Data!AL$4:AL$195,1),1,IF(Data!AL151&lt;=MEDIAN(Data!AL$4:AL$195),2,IF(Data!AL151&lt;=QUARTILE(Data!AL$4:AL$195,3),3,4)))</f>
        <v>2</v>
      </c>
      <c r="AM151" s="28">
        <f>IF(Data!AM151&lt;=QUARTILE(Data!AM$4:AM$195,1),1,IF(Data!AM151&lt;=MEDIAN(Data!AM$4:AM$195),2,IF(Data!AM151&lt;=QUARTILE(Data!AM$4:AM$195,3),3,4)))</f>
        <v>1</v>
      </c>
      <c r="AN151" s="22">
        <f>IF(Data!AN151&lt;=QUARTILE(Data!AN$4:AN$195,1),1,IF(Data!AN151&lt;=MEDIAN(Data!AN$4:AN$195),2,IF(Data!AN151&lt;=QUARTILE(Data!AN$4:AN$195,3),3,4)))</f>
        <v>2</v>
      </c>
      <c r="AO151" s="28">
        <f>IF(Data!AO151&lt;=QUARTILE(Data!AO$4:AO$195,1),1,IF(Data!AO151&lt;=MEDIAN(Data!AO$4:AO$195),2,IF(Data!AO151&lt;=QUARTILE(Data!AO$4:AO$195,3),3,4)))</f>
        <v>1</v>
      </c>
      <c r="AP151" s="28">
        <f>IF(Data!AP151&lt;=QUARTILE(Data!AP$4:AP$195,1),1,IF(Data!AP151&lt;=MEDIAN(Data!AP$4:AP$195),2,IF(Data!AP151&lt;=QUARTILE(Data!AP$4:AP$195,3),3,4)))</f>
        <v>1</v>
      </c>
      <c r="AQ151" s="28">
        <f>IF(Data!AQ151&lt;=QUARTILE(Data!AQ$4:AQ$195,1),1,IF(Data!AQ151&lt;=MEDIAN(Data!AQ$4:AQ$195),2,IF(Data!AQ151&lt;=QUARTILE(Data!AQ$4:AQ$195,3),3,4)))</f>
        <v>1</v>
      </c>
      <c r="AR151" s="28">
        <f>IF(Data!AR151&lt;=QUARTILE(Data!AR$4:AR$195,1),1,IF(Data!AR151&lt;=MEDIAN(Data!AR$4:AR$195),2,IF(Data!AR151&lt;=QUARTILE(Data!AR$4:AR$195,3),3,4)))</f>
        <v>2</v>
      </c>
      <c r="AS151" s="28">
        <f>IF(Data!AS151&lt;=QUARTILE(Data!AS$4:AS$195,1),1,IF(Data!AS151&lt;=MEDIAN(Data!AS$4:AS$195),2,IF(Data!AS151&lt;=QUARTILE(Data!AS$4:AS$195,3),3,4)))</f>
        <v>1</v>
      </c>
      <c r="AT151" s="28">
        <f>IF(Data!AT151&lt;=QUARTILE(Data!AT$4:AT$195,1),1,IF(Data!AT151&lt;=MEDIAN(Data!AT$4:AT$195),2,IF(Data!AT151&lt;=QUARTILE(Data!AT$4:AT$195,3),3,4)))</f>
        <v>1</v>
      </c>
      <c r="AU151" s="22">
        <f>IF(Data!AU151&lt;=QUARTILE(Data!AU$4:AU$195,1),1,IF(Data!AU151&lt;=MEDIAN(Data!AU$4:AU$195),2,IF(Data!AU151&lt;=QUARTILE(Data!AU$4:AU$195,3),3,4)))</f>
        <v>1</v>
      </c>
      <c r="AV151" s="25">
        <f>IF(Data!AV151&lt;=QUARTILE(Data!AV$4:AV$195,1),1,IF(Data!AV151&lt;=MEDIAN(Data!AV$4:AV$195),2,IF(Data!AV151&lt;=QUARTILE(Data!AV$4:AV$195,3),3,4)))</f>
        <v>4</v>
      </c>
      <c r="AW151" s="28">
        <f>IF(Data!AW151&lt;=QUARTILE(Data!AW$4:AW$195,1),1,IF(Data!AW151&lt;=MEDIAN(Data!AW$4:AW$195),2,IF(Data!AW151&lt;=QUARTILE(Data!AW$4:AW$195,3),3,4)))</f>
        <v>4</v>
      </c>
      <c r="AX151" s="28">
        <f>IF(Data!AX151&lt;=QUARTILE(Data!AX$4:AX$195,1),1,IF(Data!AX151&lt;=MEDIAN(Data!AX$4:AX$195),2,IF(Data!AX151&lt;=QUARTILE(Data!AX$4:AX$195,3),3,4)))</f>
        <v>3</v>
      </c>
      <c r="AY151" s="22">
        <f>IF(Data!AY151&lt;=QUARTILE(Data!AY$4:AY$195,1),1,IF(Data!AY151&lt;=MEDIAN(Data!AY$4:AY$195),2,IF(Data!AY151&lt;=QUARTILE(Data!AY$4:AY$195,3),3,4)))</f>
        <v>3</v>
      </c>
      <c r="AZ151" s="25">
        <f>IF(Data!AZ151&lt;=QUARTILE(Data!AZ$4:AZ$195,1),1,IF(Data!AZ151&lt;=MEDIAN(Data!AZ$4:AZ$195),2,IF(Data!AZ151&lt;=QUARTILE(Data!AZ$4:AZ$195,3),3,4)))</f>
        <v>1</v>
      </c>
      <c r="BA151" s="22">
        <f>IF(Data!BA151&lt;=QUARTILE(Data!BA$4:BA$195,1),1,IF(Data!BA151&lt;=MEDIAN(Data!BA$4:BA$195),2,IF(Data!BA151&lt;=QUARTILE(Data!BA$4:BA$195,3),3,4)))</f>
        <v>1</v>
      </c>
    </row>
    <row r="152" spans="1:53" x14ac:dyDescent="0.25">
      <c r="A152" s="4" t="s">
        <v>21</v>
      </c>
      <c r="B152" s="40">
        <v>2005</v>
      </c>
      <c r="C152" s="25">
        <v>11</v>
      </c>
      <c r="D152" s="28">
        <v>5</v>
      </c>
      <c r="E152" s="77" t="s">
        <v>97</v>
      </c>
      <c r="F152" s="28">
        <v>7.5</v>
      </c>
      <c r="G152" s="28">
        <v>5.8</v>
      </c>
      <c r="H152" s="22">
        <v>1.7</v>
      </c>
      <c r="I152" s="25">
        <f>IF(Data!I152&lt;=QUARTILE(Data!I$4:I$195,1),1,IF(Data!I152&lt;=MEDIAN(Data!I$4:I$195),2,IF(Data!I152&lt;=QUARTILE(Data!I$4:I$195,3),3,4)))</f>
        <v>4</v>
      </c>
      <c r="J152" s="28">
        <f>IF(Data!J152&lt;=QUARTILE(Data!J$4:J$195,1),1,IF(Data!J152&lt;=MEDIAN(Data!J$4:J$195),2,IF(Data!J152&lt;=QUARTILE(Data!J$4:J$195,3),3,4)))</f>
        <v>4</v>
      </c>
      <c r="K152" s="28">
        <f>IF(Data!K152&lt;=QUARTILE(Data!K$4:K$195,1),1,IF(Data!K152&lt;=MEDIAN(Data!K$4:K$195),2,IF(Data!K152&lt;=QUARTILE(Data!K$4:K$195,3),3,4)))</f>
        <v>4</v>
      </c>
      <c r="L152" s="22">
        <f>IF(Data!L152&lt;=QUARTILE(Data!L$4:L$195,1),1,IF(Data!L152&lt;=MEDIAN(Data!L$4:L$195),2,IF(Data!L152&lt;=QUARTILE(Data!L$4:L$195,3),3,4)))</f>
        <v>3</v>
      </c>
      <c r="M152" s="28">
        <f>IF(Data!M152&lt;=QUARTILE(Data!M$4:M$195,1),1,IF(Data!M152&lt;=MEDIAN(Data!M$4:M$195),2,IF(Data!M152&lt;=QUARTILE(Data!M$4:M$195,3),3,4)))</f>
        <v>2</v>
      </c>
      <c r="N152" s="28">
        <f>IF(Data!N152&lt;=QUARTILE(Data!N$4:N$195,1),1,IF(Data!N152&lt;=MEDIAN(Data!N$4:N$195),2,IF(Data!N152&lt;=QUARTILE(Data!N$4:N$195,3),3,4)))</f>
        <v>4</v>
      </c>
      <c r="O152" s="28">
        <f>IF(Data!O152&lt;=QUARTILE(Data!O$4:O$195,1),1,IF(Data!O152&lt;=MEDIAN(Data!O$4:O$195),2,IF(Data!O152&lt;=QUARTILE(Data!O$4:O$195,3),3,4)))</f>
        <v>3</v>
      </c>
      <c r="P152" s="28">
        <f>IF(Data!P152&lt;=QUARTILE(Data!P$4:P$195,1),1,IF(Data!P152&lt;=MEDIAN(Data!P$4:P$195),2,IF(Data!P152&lt;=QUARTILE(Data!P$4:P$195,3),3,4)))</f>
        <v>3</v>
      </c>
      <c r="Q152" s="28">
        <f>IF(Data!Q152&lt;=QUARTILE(Data!Q$4:Q$195,1),1,IF(Data!Q152&lt;=MEDIAN(Data!Q$4:Q$195),2,IF(Data!Q152&lt;=QUARTILE(Data!Q$4:Q$195,3),3,4)))</f>
        <v>2</v>
      </c>
      <c r="R152" s="28">
        <f>IF(Data!R152&lt;=QUARTILE(Data!R$4:R$195,1),1,IF(Data!R152&lt;=MEDIAN(Data!R$4:R$195),2,IF(Data!R152&lt;=QUARTILE(Data!R$4:R$195,3),3,4)))</f>
        <v>2</v>
      </c>
      <c r="S152" s="28">
        <f>IF(Data!S152&lt;=QUARTILE(Data!S$4:S$195,1),1,IF(Data!S152&lt;=MEDIAN(Data!S$4:S$195),2,IF(Data!S152&lt;=QUARTILE(Data!S$4:S$195,3),3,4)))</f>
        <v>1</v>
      </c>
      <c r="T152" s="22">
        <f>IF(Data!T152&lt;=QUARTILE(Data!T$4:T$195,1),1,IF(Data!T152&lt;=MEDIAN(Data!T$4:T$195),2,IF(Data!T152&lt;=QUARTILE(Data!T$4:T$195,3),3,4)))</f>
        <v>2</v>
      </c>
      <c r="U152" s="25">
        <f>IF(Data!U152&lt;=QUARTILE(Data!U$4:U$195,1),1,IF(Data!U152&lt;=MEDIAN(Data!U$4:U$195),2,IF(Data!U152&lt;=QUARTILE(Data!U$4:U$195,3),3,4)))</f>
        <v>3</v>
      </c>
      <c r="V152" s="28">
        <f>IF(Data!V152&lt;=QUARTILE(Data!V$4:V$195,1),1,IF(Data!V152&lt;=MEDIAN(Data!V$4:V$195),2,IF(Data!V152&lt;=QUARTILE(Data!V$4:V$195,3),3,4)))</f>
        <v>4</v>
      </c>
      <c r="W152" s="28">
        <f>IF(Data!W152&lt;=QUARTILE(Data!W$4:W$195,1),1,IF(Data!W152&lt;=MEDIAN(Data!W$4:W$195),2,IF(Data!W152&lt;=QUARTILE(Data!W$4:W$195,3),3,4)))</f>
        <v>3</v>
      </c>
      <c r="X152" s="22">
        <f>IF(Data!X152&lt;=QUARTILE(Data!X$4:X$195,1),1,IF(Data!X152&lt;=MEDIAN(Data!X$4:X$195),2,IF(Data!X152&lt;=QUARTILE(Data!X$4:X$195,3),3,4)))</f>
        <v>3</v>
      </c>
      <c r="Y152" s="30">
        <f>IF(Data!Y152&lt;=QUARTILE(Data!Y$4:Y$195,1),1,IF(Data!Y152&lt;=MEDIAN(Data!Y$4:Y$195),2,IF(Data!Y152&lt;=QUARTILE(Data!Y$4:Y$195,3),3,4)))</f>
        <v>3</v>
      </c>
      <c r="Z152" s="30">
        <f>IF(Data!Z152&lt;=QUARTILE(Data!Z$4:Z$195,1),1,IF(Data!Z152&lt;=MEDIAN(Data!Z$4:Z$195),2,IF(Data!Z152&lt;=QUARTILE(Data!Z$4:Z$195,3),3,4)))</f>
        <v>1</v>
      </c>
      <c r="AA152" s="25">
        <f>IF(Data!AA152&lt;=QUARTILE(Data!AA$4:AA$195,1),1,IF(Data!AA152&lt;=MEDIAN(Data!AA$4:AA$195),2,IF(Data!AA152&lt;=QUARTILE(Data!AA$4:AA$195,3),3,4)))</f>
        <v>4</v>
      </c>
      <c r="AB152" s="22">
        <f>IF(Data!AB152&lt;=QUARTILE(Data!AB$4:AB$195,1),1,IF(Data!AB152&lt;=MEDIAN(Data!AB$4:AB$195),2,IF(Data!AB152&lt;=QUARTILE(Data!AB$4:AB$195,3),3,4)))</f>
        <v>4</v>
      </c>
      <c r="AC152" s="25">
        <f>IF(Data!AC152&lt;=QUARTILE(Data!AC$4:AC$195,1),1,IF(Data!AC152&lt;=MEDIAN(Data!AC$4:AC$195),2,IF(Data!AC152&lt;=QUARTILE(Data!AC$4:AC$195,3),3,4)))</f>
        <v>2</v>
      </c>
      <c r="AD152" s="22">
        <f>IF(Data!AD152&lt;=QUARTILE(Data!AD$4:AD$195,1),1,IF(Data!AD152&lt;=MEDIAN(Data!AD$4:AD$195),2,IF(Data!AD152&lt;=QUARTILE(Data!AD$4:AD$195,3),3,4)))</f>
        <v>3</v>
      </c>
      <c r="AE152" s="28">
        <f>IF(Data!AE152&lt;=QUARTILE(Data!AE$4:AE$195,1),1,IF(Data!AE152&lt;=MEDIAN(Data!AE$4:AE$195),2,IF(Data!AE152&lt;=QUARTILE(Data!AE$4:AE$195,3),3,4)))</f>
        <v>4</v>
      </c>
      <c r="AF152" s="28">
        <f>IF(Data!AF152&lt;=QUARTILE(Data!AF$4:AF$195,1),1,IF(Data!AF152&lt;=MEDIAN(Data!AF$4:AF$195),2,IF(Data!AF152&lt;=QUARTILE(Data!AF$4:AF$195,3),3,4)))</f>
        <v>4</v>
      </c>
      <c r="AG152" s="28">
        <f>IF(Data!AG152&lt;=QUARTILE(Data!AG$4:AG$195,1),1,IF(Data!AG152&lt;=MEDIAN(Data!AG$4:AG$195),2,IF(Data!AG152&lt;=QUARTILE(Data!AG$4:AG$195,3),3,4)))</f>
        <v>4</v>
      </c>
      <c r="AH152" s="22">
        <f>IF(Data!AH152&lt;=QUARTILE(Data!AH$4:AH$195,1),1,IF(Data!AH152&lt;=MEDIAN(Data!AH$4:AH$195),2,IF(Data!AH152&lt;=QUARTILE(Data!AH$4:AH$195,3),3,4)))</f>
        <v>4</v>
      </c>
      <c r="AI152" s="25">
        <f>IF(Data!AI152&lt;=QUARTILE(Data!AI$4:AI$195,1),1,IF(Data!AI152&lt;=MEDIAN(Data!AI$4:AI$195),2,IF(Data!AI152&lt;=QUARTILE(Data!AI$4:AI$195,3),3,4)))</f>
        <v>2</v>
      </c>
      <c r="AJ152" s="22">
        <f>IF(Data!AJ152&lt;=QUARTILE(Data!AJ$4:AJ$195,1),1,IF(Data!AJ152&lt;=MEDIAN(Data!AJ$4:AJ$195),2,IF(Data!AJ152&lt;=QUARTILE(Data!AJ$4:AJ$195,3),3,4)))</f>
        <v>2</v>
      </c>
      <c r="AK152" s="25">
        <f>IF(Data!AK152&lt;=QUARTILE(Data!AK$4:AK$195,1),1,IF(Data!AK152&lt;=MEDIAN(Data!AK$4:AK$195),2,IF(Data!AK152&lt;=QUARTILE(Data!AK$4:AK$195,3),3,4)))</f>
        <v>2</v>
      </c>
      <c r="AL152" s="28">
        <f>IF(Data!AL152&lt;=QUARTILE(Data!AL$4:AL$195,1),1,IF(Data!AL152&lt;=MEDIAN(Data!AL$4:AL$195),2,IF(Data!AL152&lt;=QUARTILE(Data!AL$4:AL$195,3),3,4)))</f>
        <v>3</v>
      </c>
      <c r="AM152" s="28">
        <f>IF(Data!AM152&lt;=QUARTILE(Data!AM$4:AM$195,1),1,IF(Data!AM152&lt;=MEDIAN(Data!AM$4:AM$195),2,IF(Data!AM152&lt;=QUARTILE(Data!AM$4:AM$195,3),3,4)))</f>
        <v>4</v>
      </c>
      <c r="AN152" s="22">
        <f>IF(Data!AN152&lt;=QUARTILE(Data!AN$4:AN$195,1),1,IF(Data!AN152&lt;=MEDIAN(Data!AN$4:AN$195),2,IF(Data!AN152&lt;=QUARTILE(Data!AN$4:AN$195,3),3,4)))</f>
        <v>3</v>
      </c>
      <c r="AO152" s="28">
        <f>IF(Data!AO152&lt;=QUARTILE(Data!AO$4:AO$195,1),1,IF(Data!AO152&lt;=MEDIAN(Data!AO$4:AO$195),2,IF(Data!AO152&lt;=QUARTILE(Data!AO$4:AO$195,3),3,4)))</f>
        <v>3</v>
      </c>
      <c r="AP152" s="28">
        <f>IF(Data!AP152&lt;=QUARTILE(Data!AP$4:AP$195,1),1,IF(Data!AP152&lt;=MEDIAN(Data!AP$4:AP$195),2,IF(Data!AP152&lt;=QUARTILE(Data!AP$4:AP$195,3),3,4)))</f>
        <v>4</v>
      </c>
      <c r="AQ152" s="28">
        <f>IF(Data!AQ152&lt;=QUARTILE(Data!AQ$4:AQ$195,1),1,IF(Data!AQ152&lt;=MEDIAN(Data!AQ$4:AQ$195),2,IF(Data!AQ152&lt;=QUARTILE(Data!AQ$4:AQ$195,3),3,4)))</f>
        <v>3</v>
      </c>
      <c r="AR152" s="28">
        <f>IF(Data!AR152&lt;=QUARTILE(Data!AR$4:AR$195,1),1,IF(Data!AR152&lt;=MEDIAN(Data!AR$4:AR$195),2,IF(Data!AR152&lt;=QUARTILE(Data!AR$4:AR$195,3),3,4)))</f>
        <v>2</v>
      </c>
      <c r="AS152" s="28">
        <f>IF(Data!AS152&lt;=QUARTILE(Data!AS$4:AS$195,1),1,IF(Data!AS152&lt;=MEDIAN(Data!AS$4:AS$195),2,IF(Data!AS152&lt;=QUARTILE(Data!AS$4:AS$195,3),3,4)))</f>
        <v>4</v>
      </c>
      <c r="AT152" s="28">
        <f>IF(Data!AT152&lt;=QUARTILE(Data!AT$4:AT$195,1),1,IF(Data!AT152&lt;=MEDIAN(Data!AT$4:AT$195),2,IF(Data!AT152&lt;=QUARTILE(Data!AT$4:AT$195,3),3,4)))</f>
        <v>4</v>
      </c>
      <c r="AU152" s="22">
        <f>IF(Data!AU152&lt;=QUARTILE(Data!AU$4:AU$195,1),1,IF(Data!AU152&lt;=MEDIAN(Data!AU$4:AU$195),2,IF(Data!AU152&lt;=QUARTILE(Data!AU$4:AU$195,3),3,4)))</f>
        <v>4</v>
      </c>
      <c r="AV152" s="25">
        <f>IF(Data!AV152&lt;=QUARTILE(Data!AV$4:AV$195,1),1,IF(Data!AV152&lt;=MEDIAN(Data!AV$4:AV$195),2,IF(Data!AV152&lt;=QUARTILE(Data!AV$4:AV$195,3),3,4)))</f>
        <v>2</v>
      </c>
      <c r="AW152" s="28">
        <f>IF(Data!AW152&lt;=QUARTILE(Data!AW$4:AW$195,1),1,IF(Data!AW152&lt;=MEDIAN(Data!AW$4:AW$195),2,IF(Data!AW152&lt;=QUARTILE(Data!AW$4:AW$195,3),3,4)))</f>
        <v>2</v>
      </c>
      <c r="AX152" s="28">
        <f>IF(Data!AX152&lt;=QUARTILE(Data!AX$4:AX$195,1),1,IF(Data!AX152&lt;=MEDIAN(Data!AX$4:AX$195),2,IF(Data!AX152&lt;=QUARTILE(Data!AX$4:AX$195,3),3,4)))</f>
        <v>2</v>
      </c>
      <c r="AY152" s="22">
        <f>IF(Data!AY152&lt;=QUARTILE(Data!AY$4:AY$195,1),1,IF(Data!AY152&lt;=MEDIAN(Data!AY$4:AY$195),2,IF(Data!AY152&lt;=QUARTILE(Data!AY$4:AY$195,3),3,4)))</f>
        <v>1</v>
      </c>
      <c r="AZ152" s="25">
        <f>IF(Data!AZ152&lt;=QUARTILE(Data!AZ$4:AZ$195,1),1,IF(Data!AZ152&lt;=MEDIAN(Data!AZ$4:AZ$195),2,IF(Data!AZ152&lt;=QUARTILE(Data!AZ$4:AZ$195,3),3,4)))</f>
        <v>3</v>
      </c>
      <c r="BA152" s="22">
        <f>IF(Data!BA152&lt;=QUARTILE(Data!BA$4:BA$195,1),1,IF(Data!BA152&lt;=MEDIAN(Data!BA$4:BA$195),2,IF(Data!BA152&lt;=QUARTILE(Data!BA$4:BA$195,3),3,4)))</f>
        <v>4</v>
      </c>
    </row>
    <row r="153" spans="1:53" x14ac:dyDescent="0.25">
      <c r="A153" s="4" t="s">
        <v>4</v>
      </c>
      <c r="B153" s="40">
        <v>2005</v>
      </c>
      <c r="C153" s="25">
        <v>4</v>
      </c>
      <c r="D153" s="28">
        <v>12</v>
      </c>
      <c r="E153" s="77" t="s">
        <v>96</v>
      </c>
      <c r="F153" s="28">
        <v>-6.4</v>
      </c>
      <c r="G153" s="28">
        <v>-5.2</v>
      </c>
      <c r="H153" s="22">
        <v>-1.2</v>
      </c>
      <c r="I153" s="25">
        <f>IF(Data!I153&lt;=QUARTILE(Data!I$4:I$195,1),1,IF(Data!I153&lt;=MEDIAN(Data!I$4:I$195),2,IF(Data!I153&lt;=QUARTILE(Data!I$4:I$195,3),3,4)))</f>
        <v>1</v>
      </c>
      <c r="J153" s="28">
        <f>IF(Data!J153&lt;=QUARTILE(Data!J$4:J$195,1),1,IF(Data!J153&lt;=MEDIAN(Data!J$4:J$195),2,IF(Data!J153&lt;=QUARTILE(Data!J$4:J$195,3),3,4)))</f>
        <v>1</v>
      </c>
      <c r="K153" s="28">
        <f>IF(Data!K153&lt;=QUARTILE(Data!K$4:K$195,1),1,IF(Data!K153&lt;=MEDIAN(Data!K$4:K$195),2,IF(Data!K153&lt;=QUARTILE(Data!K$4:K$195,3),3,4)))</f>
        <v>1</v>
      </c>
      <c r="L153" s="22">
        <f>IF(Data!L153&lt;=QUARTILE(Data!L$4:L$195,1),1,IF(Data!L153&lt;=MEDIAN(Data!L$4:L$195),2,IF(Data!L153&lt;=QUARTILE(Data!L$4:L$195,3),3,4)))</f>
        <v>1</v>
      </c>
      <c r="M153" s="28">
        <f>IF(Data!M153&lt;=QUARTILE(Data!M$4:M$195,1),1,IF(Data!M153&lt;=MEDIAN(Data!M$4:M$195),2,IF(Data!M153&lt;=QUARTILE(Data!M$4:M$195,3),3,4)))</f>
        <v>1</v>
      </c>
      <c r="N153" s="28">
        <f>IF(Data!N153&lt;=QUARTILE(Data!N$4:N$195,1),1,IF(Data!N153&lt;=MEDIAN(Data!N$4:N$195),2,IF(Data!N153&lt;=QUARTILE(Data!N$4:N$195,3),3,4)))</f>
        <v>1</v>
      </c>
      <c r="O153" s="28">
        <f>IF(Data!O153&lt;=QUARTILE(Data!O$4:O$195,1),1,IF(Data!O153&lt;=MEDIAN(Data!O$4:O$195),2,IF(Data!O153&lt;=QUARTILE(Data!O$4:O$195,3),3,4)))</f>
        <v>1</v>
      </c>
      <c r="P153" s="28">
        <f>IF(Data!P153&lt;=QUARTILE(Data!P$4:P$195,1),1,IF(Data!P153&lt;=MEDIAN(Data!P$4:P$195),2,IF(Data!P153&lt;=QUARTILE(Data!P$4:P$195,3),3,4)))</f>
        <v>1</v>
      </c>
      <c r="Q153" s="28">
        <f>IF(Data!Q153&lt;=QUARTILE(Data!Q$4:Q$195,1),1,IF(Data!Q153&lt;=MEDIAN(Data!Q$4:Q$195),2,IF(Data!Q153&lt;=QUARTILE(Data!Q$4:Q$195,3),3,4)))</f>
        <v>1</v>
      </c>
      <c r="R153" s="28">
        <f>IF(Data!R153&lt;=QUARTILE(Data!R$4:R$195,1),1,IF(Data!R153&lt;=MEDIAN(Data!R$4:R$195),2,IF(Data!R153&lt;=QUARTILE(Data!R$4:R$195,3),3,4)))</f>
        <v>1</v>
      </c>
      <c r="S153" s="28">
        <f>IF(Data!S153&lt;=QUARTILE(Data!S$4:S$195,1),1,IF(Data!S153&lt;=MEDIAN(Data!S$4:S$195),2,IF(Data!S153&lt;=QUARTILE(Data!S$4:S$195,3),3,4)))</f>
        <v>4</v>
      </c>
      <c r="T153" s="22">
        <f>IF(Data!T153&lt;=QUARTILE(Data!T$4:T$195,1),1,IF(Data!T153&lt;=MEDIAN(Data!T$4:T$195),2,IF(Data!T153&lt;=QUARTILE(Data!T$4:T$195,3),3,4)))</f>
        <v>4</v>
      </c>
      <c r="U153" s="25">
        <f>IF(Data!U153&lt;=QUARTILE(Data!U$4:U$195,1),1,IF(Data!U153&lt;=MEDIAN(Data!U$4:U$195),2,IF(Data!U153&lt;=QUARTILE(Data!U$4:U$195,3),3,4)))</f>
        <v>1</v>
      </c>
      <c r="V153" s="28">
        <f>IF(Data!V153&lt;=QUARTILE(Data!V$4:V$195,1),1,IF(Data!V153&lt;=MEDIAN(Data!V$4:V$195),2,IF(Data!V153&lt;=QUARTILE(Data!V$4:V$195,3),3,4)))</f>
        <v>1</v>
      </c>
      <c r="W153" s="28">
        <f>IF(Data!W153&lt;=QUARTILE(Data!W$4:W$195,1),1,IF(Data!W153&lt;=MEDIAN(Data!W$4:W$195),2,IF(Data!W153&lt;=QUARTILE(Data!W$4:W$195,3),3,4)))</f>
        <v>2</v>
      </c>
      <c r="X153" s="22">
        <f>IF(Data!X153&lt;=QUARTILE(Data!X$4:X$195,1),1,IF(Data!X153&lt;=MEDIAN(Data!X$4:X$195),2,IF(Data!X153&lt;=QUARTILE(Data!X$4:X$195,3),3,4)))</f>
        <v>1</v>
      </c>
      <c r="Y153" s="30">
        <f>IF(Data!Y153&lt;=QUARTILE(Data!Y$4:Y$195,1),1,IF(Data!Y153&lt;=MEDIAN(Data!Y$4:Y$195),2,IF(Data!Y153&lt;=QUARTILE(Data!Y$4:Y$195,3),3,4)))</f>
        <v>2</v>
      </c>
      <c r="Z153" s="30">
        <f>IF(Data!Z153&lt;=QUARTILE(Data!Z$4:Z$195,1),1,IF(Data!Z153&lt;=MEDIAN(Data!Z$4:Z$195),2,IF(Data!Z153&lt;=QUARTILE(Data!Z$4:Z$195,3),3,4)))</f>
        <v>4</v>
      </c>
      <c r="AA153" s="25">
        <f>IF(Data!AA153&lt;=QUARTILE(Data!AA$4:AA$195,1),1,IF(Data!AA153&lt;=MEDIAN(Data!AA$4:AA$195),2,IF(Data!AA153&lt;=QUARTILE(Data!AA$4:AA$195,3),3,4)))</f>
        <v>2</v>
      </c>
      <c r="AB153" s="22">
        <f>IF(Data!AB153&lt;=QUARTILE(Data!AB$4:AB$195,1),1,IF(Data!AB153&lt;=MEDIAN(Data!AB$4:AB$195),2,IF(Data!AB153&lt;=QUARTILE(Data!AB$4:AB$195,3),3,4)))</f>
        <v>1</v>
      </c>
      <c r="AC153" s="25">
        <f>IF(Data!AC153&lt;=QUARTILE(Data!AC$4:AC$195,1),1,IF(Data!AC153&lt;=MEDIAN(Data!AC$4:AC$195),2,IF(Data!AC153&lt;=QUARTILE(Data!AC$4:AC$195,3),3,4)))</f>
        <v>3</v>
      </c>
      <c r="AD153" s="22">
        <f>IF(Data!AD153&lt;=QUARTILE(Data!AD$4:AD$195,1),1,IF(Data!AD153&lt;=MEDIAN(Data!AD$4:AD$195),2,IF(Data!AD153&lt;=QUARTILE(Data!AD$4:AD$195,3),3,4)))</f>
        <v>4</v>
      </c>
      <c r="AE153" s="28">
        <f>IF(Data!AE153&lt;=QUARTILE(Data!AE$4:AE$195,1),1,IF(Data!AE153&lt;=MEDIAN(Data!AE$4:AE$195),2,IF(Data!AE153&lt;=QUARTILE(Data!AE$4:AE$195,3),3,4)))</f>
        <v>2</v>
      </c>
      <c r="AF153" s="28">
        <f>IF(Data!AF153&lt;=QUARTILE(Data!AF$4:AF$195,1),1,IF(Data!AF153&lt;=MEDIAN(Data!AF$4:AF$195),2,IF(Data!AF153&lt;=QUARTILE(Data!AF$4:AF$195,3),3,4)))</f>
        <v>2</v>
      </c>
      <c r="AG153" s="28">
        <f>IF(Data!AG153&lt;=QUARTILE(Data!AG$4:AG$195,1),1,IF(Data!AG153&lt;=MEDIAN(Data!AG$4:AG$195),2,IF(Data!AG153&lt;=QUARTILE(Data!AG$4:AG$195,3),3,4)))</f>
        <v>3</v>
      </c>
      <c r="AH153" s="22">
        <f>IF(Data!AH153&lt;=QUARTILE(Data!AH$4:AH$195,1),1,IF(Data!AH153&lt;=MEDIAN(Data!AH$4:AH$195),2,IF(Data!AH153&lt;=QUARTILE(Data!AH$4:AH$195,3),3,4)))</f>
        <v>2</v>
      </c>
      <c r="AI153" s="25">
        <f>IF(Data!AI153&lt;=QUARTILE(Data!AI$4:AI$195,1),1,IF(Data!AI153&lt;=MEDIAN(Data!AI$4:AI$195),2,IF(Data!AI153&lt;=QUARTILE(Data!AI$4:AI$195,3),3,4)))</f>
        <v>2</v>
      </c>
      <c r="AJ153" s="22">
        <f>IF(Data!AJ153&lt;=QUARTILE(Data!AJ$4:AJ$195,1),1,IF(Data!AJ153&lt;=MEDIAN(Data!AJ$4:AJ$195),2,IF(Data!AJ153&lt;=QUARTILE(Data!AJ$4:AJ$195,3),3,4)))</f>
        <v>3</v>
      </c>
      <c r="AK153" s="25">
        <f>IF(Data!AK153&lt;=QUARTILE(Data!AK$4:AK$195,1),1,IF(Data!AK153&lt;=MEDIAN(Data!AK$4:AK$195),2,IF(Data!AK153&lt;=QUARTILE(Data!AK$4:AK$195,3),3,4)))</f>
        <v>3</v>
      </c>
      <c r="AL153" s="28">
        <f>IF(Data!AL153&lt;=QUARTILE(Data!AL$4:AL$195,1),1,IF(Data!AL153&lt;=MEDIAN(Data!AL$4:AL$195),2,IF(Data!AL153&lt;=QUARTILE(Data!AL$4:AL$195,3),3,4)))</f>
        <v>2</v>
      </c>
      <c r="AM153" s="28">
        <f>IF(Data!AM153&lt;=QUARTILE(Data!AM$4:AM$195,1),1,IF(Data!AM153&lt;=MEDIAN(Data!AM$4:AM$195),2,IF(Data!AM153&lt;=QUARTILE(Data!AM$4:AM$195,3),3,4)))</f>
        <v>4</v>
      </c>
      <c r="AN153" s="22">
        <f>IF(Data!AN153&lt;=QUARTILE(Data!AN$4:AN$195,1),1,IF(Data!AN153&lt;=MEDIAN(Data!AN$4:AN$195),2,IF(Data!AN153&lt;=QUARTILE(Data!AN$4:AN$195,3),3,4)))</f>
        <v>4</v>
      </c>
      <c r="AO153" s="28">
        <f>IF(Data!AO153&lt;=QUARTILE(Data!AO$4:AO$195,1),1,IF(Data!AO153&lt;=MEDIAN(Data!AO$4:AO$195),2,IF(Data!AO153&lt;=QUARTILE(Data!AO$4:AO$195,3),3,4)))</f>
        <v>1</v>
      </c>
      <c r="AP153" s="28">
        <f>IF(Data!AP153&lt;=QUARTILE(Data!AP$4:AP$195,1),1,IF(Data!AP153&lt;=MEDIAN(Data!AP$4:AP$195),2,IF(Data!AP153&lt;=QUARTILE(Data!AP$4:AP$195,3),3,4)))</f>
        <v>1</v>
      </c>
      <c r="AQ153" s="28">
        <f>IF(Data!AQ153&lt;=QUARTILE(Data!AQ$4:AQ$195,1),1,IF(Data!AQ153&lt;=MEDIAN(Data!AQ$4:AQ$195),2,IF(Data!AQ153&lt;=QUARTILE(Data!AQ$4:AQ$195,3),3,4)))</f>
        <v>1</v>
      </c>
      <c r="AR153" s="28">
        <f>IF(Data!AR153&lt;=QUARTILE(Data!AR$4:AR$195,1),1,IF(Data!AR153&lt;=MEDIAN(Data!AR$4:AR$195),2,IF(Data!AR153&lt;=QUARTILE(Data!AR$4:AR$195,3),3,4)))</f>
        <v>1</v>
      </c>
      <c r="AS153" s="28">
        <f>IF(Data!AS153&lt;=QUARTILE(Data!AS$4:AS$195,1),1,IF(Data!AS153&lt;=MEDIAN(Data!AS$4:AS$195),2,IF(Data!AS153&lt;=QUARTILE(Data!AS$4:AS$195,3),3,4)))</f>
        <v>1</v>
      </c>
      <c r="AT153" s="28">
        <f>IF(Data!AT153&lt;=QUARTILE(Data!AT$4:AT$195,1),1,IF(Data!AT153&lt;=MEDIAN(Data!AT$4:AT$195),2,IF(Data!AT153&lt;=QUARTILE(Data!AT$4:AT$195,3),3,4)))</f>
        <v>1</v>
      </c>
      <c r="AU153" s="22">
        <f>IF(Data!AU153&lt;=QUARTILE(Data!AU$4:AU$195,1),1,IF(Data!AU153&lt;=MEDIAN(Data!AU$4:AU$195),2,IF(Data!AU153&lt;=QUARTILE(Data!AU$4:AU$195,3),3,4)))</f>
        <v>2</v>
      </c>
      <c r="AV153" s="25">
        <f>IF(Data!AV153&lt;=QUARTILE(Data!AV$4:AV$195,1),1,IF(Data!AV153&lt;=MEDIAN(Data!AV$4:AV$195),2,IF(Data!AV153&lt;=QUARTILE(Data!AV$4:AV$195,3),3,4)))</f>
        <v>4</v>
      </c>
      <c r="AW153" s="28">
        <f>IF(Data!AW153&lt;=QUARTILE(Data!AW$4:AW$195,1),1,IF(Data!AW153&lt;=MEDIAN(Data!AW$4:AW$195),2,IF(Data!AW153&lt;=QUARTILE(Data!AW$4:AW$195,3),3,4)))</f>
        <v>4</v>
      </c>
      <c r="AX153" s="28">
        <f>IF(Data!AX153&lt;=QUARTILE(Data!AX$4:AX$195,1),1,IF(Data!AX153&lt;=MEDIAN(Data!AX$4:AX$195),2,IF(Data!AX153&lt;=QUARTILE(Data!AX$4:AX$195,3),3,4)))</f>
        <v>4</v>
      </c>
      <c r="AY153" s="22">
        <f>IF(Data!AY153&lt;=QUARTILE(Data!AY$4:AY$195,1),1,IF(Data!AY153&lt;=MEDIAN(Data!AY$4:AY$195),2,IF(Data!AY153&lt;=QUARTILE(Data!AY$4:AY$195,3),3,4)))</f>
        <v>4</v>
      </c>
      <c r="AZ153" s="25">
        <f>IF(Data!AZ153&lt;=QUARTILE(Data!AZ$4:AZ$195,1),1,IF(Data!AZ153&lt;=MEDIAN(Data!AZ$4:AZ$195),2,IF(Data!AZ153&lt;=QUARTILE(Data!AZ$4:AZ$195,3),3,4)))</f>
        <v>4</v>
      </c>
      <c r="BA153" s="22">
        <f>IF(Data!BA153&lt;=QUARTILE(Data!BA$4:BA$195,1),1,IF(Data!BA153&lt;=MEDIAN(Data!BA$4:BA$195),2,IF(Data!BA153&lt;=QUARTILE(Data!BA$4:BA$195,3),3,4)))</f>
        <v>1</v>
      </c>
    </row>
    <row r="154" spans="1:53" x14ac:dyDescent="0.25">
      <c r="A154" s="4" t="s">
        <v>17</v>
      </c>
      <c r="B154" s="40">
        <v>2005</v>
      </c>
      <c r="C154" s="25">
        <v>4</v>
      </c>
      <c r="D154" s="28">
        <v>12</v>
      </c>
      <c r="E154" s="77" t="s">
        <v>96</v>
      </c>
      <c r="F154" s="28">
        <v>-2.8</v>
      </c>
      <c r="G154" s="28">
        <v>-1.2</v>
      </c>
      <c r="H154" s="22">
        <v>-1.6</v>
      </c>
      <c r="I154" s="25">
        <f>IF(Data!I154&lt;=QUARTILE(Data!I$4:I$195,1),1,IF(Data!I154&lt;=MEDIAN(Data!I$4:I$195),2,IF(Data!I154&lt;=QUARTILE(Data!I$4:I$195,3),3,4)))</f>
        <v>1</v>
      </c>
      <c r="J154" s="28">
        <f>IF(Data!J154&lt;=QUARTILE(Data!J$4:J$195,1),1,IF(Data!J154&lt;=MEDIAN(Data!J$4:J$195),2,IF(Data!J154&lt;=QUARTILE(Data!J$4:J$195,3),3,4)))</f>
        <v>2</v>
      </c>
      <c r="K154" s="28">
        <f>IF(Data!K154&lt;=QUARTILE(Data!K$4:K$195,1),1,IF(Data!K154&lt;=MEDIAN(Data!K$4:K$195),2,IF(Data!K154&lt;=QUARTILE(Data!K$4:K$195,3),3,4)))</f>
        <v>2</v>
      </c>
      <c r="L154" s="22">
        <f>IF(Data!L154&lt;=QUARTILE(Data!L$4:L$195,1),1,IF(Data!L154&lt;=MEDIAN(Data!L$4:L$195),2,IF(Data!L154&lt;=QUARTILE(Data!L$4:L$195,3),3,4)))</f>
        <v>2</v>
      </c>
      <c r="M154" s="28">
        <f>IF(Data!M154&lt;=QUARTILE(Data!M$4:M$195,1),1,IF(Data!M154&lt;=MEDIAN(Data!M$4:M$195),2,IF(Data!M154&lt;=QUARTILE(Data!M$4:M$195,3),3,4)))</f>
        <v>3</v>
      </c>
      <c r="N154" s="28">
        <f>IF(Data!N154&lt;=QUARTILE(Data!N$4:N$195,1),1,IF(Data!N154&lt;=MEDIAN(Data!N$4:N$195),2,IF(Data!N154&lt;=QUARTILE(Data!N$4:N$195,3),3,4)))</f>
        <v>4</v>
      </c>
      <c r="O154" s="28">
        <f>IF(Data!O154&lt;=QUARTILE(Data!O$4:O$195,1),1,IF(Data!O154&lt;=MEDIAN(Data!O$4:O$195),2,IF(Data!O154&lt;=QUARTILE(Data!O$4:O$195,3),3,4)))</f>
        <v>3</v>
      </c>
      <c r="P154" s="28">
        <f>IF(Data!P154&lt;=QUARTILE(Data!P$4:P$195,1),1,IF(Data!P154&lt;=MEDIAN(Data!P$4:P$195),2,IF(Data!P154&lt;=QUARTILE(Data!P$4:P$195,3),3,4)))</f>
        <v>2</v>
      </c>
      <c r="Q154" s="28">
        <f>IF(Data!Q154&lt;=QUARTILE(Data!Q$4:Q$195,1),1,IF(Data!Q154&lt;=MEDIAN(Data!Q$4:Q$195),2,IF(Data!Q154&lt;=QUARTILE(Data!Q$4:Q$195,3),3,4)))</f>
        <v>3</v>
      </c>
      <c r="R154" s="28">
        <f>IF(Data!R154&lt;=QUARTILE(Data!R$4:R$195,1),1,IF(Data!R154&lt;=MEDIAN(Data!R$4:R$195),2,IF(Data!R154&lt;=QUARTILE(Data!R$4:R$195,3),3,4)))</f>
        <v>2</v>
      </c>
      <c r="S154" s="28">
        <f>IF(Data!S154&lt;=QUARTILE(Data!S$4:S$195,1),1,IF(Data!S154&lt;=MEDIAN(Data!S$4:S$195),2,IF(Data!S154&lt;=QUARTILE(Data!S$4:S$195,3),3,4)))</f>
        <v>4</v>
      </c>
      <c r="T154" s="22">
        <f>IF(Data!T154&lt;=QUARTILE(Data!T$4:T$195,1),1,IF(Data!T154&lt;=MEDIAN(Data!T$4:T$195),2,IF(Data!T154&lt;=QUARTILE(Data!T$4:T$195,3),3,4)))</f>
        <v>4</v>
      </c>
      <c r="U154" s="25">
        <f>IF(Data!U154&lt;=QUARTILE(Data!U$4:U$195,1),1,IF(Data!U154&lt;=MEDIAN(Data!U$4:U$195),2,IF(Data!U154&lt;=QUARTILE(Data!U$4:U$195,3),3,4)))</f>
        <v>1</v>
      </c>
      <c r="V154" s="28">
        <f>IF(Data!V154&lt;=QUARTILE(Data!V$4:V$195,1),1,IF(Data!V154&lt;=MEDIAN(Data!V$4:V$195),2,IF(Data!V154&lt;=QUARTILE(Data!V$4:V$195,3),3,4)))</f>
        <v>1</v>
      </c>
      <c r="W154" s="28">
        <f>IF(Data!W154&lt;=QUARTILE(Data!W$4:W$195,1),1,IF(Data!W154&lt;=MEDIAN(Data!W$4:W$195),2,IF(Data!W154&lt;=QUARTILE(Data!W$4:W$195,3),3,4)))</f>
        <v>2</v>
      </c>
      <c r="X154" s="22">
        <f>IF(Data!X154&lt;=QUARTILE(Data!X$4:X$195,1),1,IF(Data!X154&lt;=MEDIAN(Data!X$4:X$195),2,IF(Data!X154&lt;=QUARTILE(Data!X$4:X$195,3),3,4)))</f>
        <v>1</v>
      </c>
      <c r="Y154" s="30">
        <f>IF(Data!Y154&lt;=QUARTILE(Data!Y$4:Y$195,1),1,IF(Data!Y154&lt;=MEDIAN(Data!Y$4:Y$195),2,IF(Data!Y154&lt;=QUARTILE(Data!Y$4:Y$195,3),3,4)))</f>
        <v>2</v>
      </c>
      <c r="Z154" s="30">
        <f>IF(Data!Z154&lt;=QUARTILE(Data!Z$4:Z$195,1),1,IF(Data!Z154&lt;=MEDIAN(Data!Z$4:Z$195),2,IF(Data!Z154&lt;=QUARTILE(Data!Z$4:Z$195,3),3,4)))</f>
        <v>1</v>
      </c>
      <c r="AA154" s="25">
        <f>IF(Data!AA154&lt;=QUARTILE(Data!AA$4:AA$195,1),1,IF(Data!AA154&lt;=MEDIAN(Data!AA$4:AA$195),2,IF(Data!AA154&lt;=QUARTILE(Data!AA$4:AA$195,3),3,4)))</f>
        <v>3</v>
      </c>
      <c r="AB154" s="22">
        <f>IF(Data!AB154&lt;=QUARTILE(Data!AB$4:AB$195,1),1,IF(Data!AB154&lt;=MEDIAN(Data!AB$4:AB$195),2,IF(Data!AB154&lt;=QUARTILE(Data!AB$4:AB$195,3),3,4)))</f>
        <v>1</v>
      </c>
      <c r="AC154" s="25">
        <f>IF(Data!AC154&lt;=QUARTILE(Data!AC$4:AC$195,1),1,IF(Data!AC154&lt;=MEDIAN(Data!AC$4:AC$195),2,IF(Data!AC154&lt;=QUARTILE(Data!AC$4:AC$195,3),3,4)))</f>
        <v>4</v>
      </c>
      <c r="AD154" s="22">
        <f>IF(Data!AD154&lt;=QUARTILE(Data!AD$4:AD$195,1),1,IF(Data!AD154&lt;=MEDIAN(Data!AD$4:AD$195),2,IF(Data!AD154&lt;=QUARTILE(Data!AD$4:AD$195,3),3,4)))</f>
        <v>4</v>
      </c>
      <c r="AE154" s="28">
        <f>IF(Data!AE154&lt;=QUARTILE(Data!AE$4:AE$195,1),1,IF(Data!AE154&lt;=MEDIAN(Data!AE$4:AE$195),2,IF(Data!AE154&lt;=QUARTILE(Data!AE$4:AE$195,3),3,4)))</f>
        <v>1</v>
      </c>
      <c r="AF154" s="28">
        <f>IF(Data!AF154&lt;=QUARTILE(Data!AF$4:AF$195,1),1,IF(Data!AF154&lt;=MEDIAN(Data!AF$4:AF$195),2,IF(Data!AF154&lt;=QUARTILE(Data!AF$4:AF$195,3),3,4)))</f>
        <v>1</v>
      </c>
      <c r="AG154" s="28">
        <f>IF(Data!AG154&lt;=QUARTILE(Data!AG$4:AG$195,1),1,IF(Data!AG154&lt;=MEDIAN(Data!AG$4:AG$195),2,IF(Data!AG154&lt;=QUARTILE(Data!AG$4:AG$195,3),3,4)))</f>
        <v>4</v>
      </c>
      <c r="AH154" s="22">
        <f>IF(Data!AH154&lt;=QUARTILE(Data!AH$4:AH$195,1),1,IF(Data!AH154&lt;=MEDIAN(Data!AH$4:AH$195),2,IF(Data!AH154&lt;=QUARTILE(Data!AH$4:AH$195,3),3,4)))</f>
        <v>2</v>
      </c>
      <c r="AI154" s="25">
        <f>IF(Data!AI154&lt;=QUARTILE(Data!AI$4:AI$195,1),1,IF(Data!AI154&lt;=MEDIAN(Data!AI$4:AI$195),2,IF(Data!AI154&lt;=QUARTILE(Data!AI$4:AI$195,3),3,4)))</f>
        <v>3</v>
      </c>
      <c r="AJ154" s="22">
        <f>IF(Data!AJ154&lt;=QUARTILE(Data!AJ$4:AJ$195,1),1,IF(Data!AJ154&lt;=MEDIAN(Data!AJ$4:AJ$195),2,IF(Data!AJ154&lt;=QUARTILE(Data!AJ$4:AJ$195,3),3,4)))</f>
        <v>4</v>
      </c>
      <c r="AK154" s="25">
        <f>IF(Data!AK154&lt;=QUARTILE(Data!AK$4:AK$195,1),1,IF(Data!AK154&lt;=MEDIAN(Data!AK$4:AK$195),2,IF(Data!AK154&lt;=QUARTILE(Data!AK$4:AK$195,3),3,4)))</f>
        <v>3</v>
      </c>
      <c r="AL154" s="28">
        <f>IF(Data!AL154&lt;=QUARTILE(Data!AL$4:AL$195,1),1,IF(Data!AL154&lt;=MEDIAN(Data!AL$4:AL$195),2,IF(Data!AL154&lt;=QUARTILE(Data!AL$4:AL$195,3),3,4)))</f>
        <v>3</v>
      </c>
      <c r="AM154" s="28">
        <f>IF(Data!AM154&lt;=QUARTILE(Data!AM$4:AM$195,1),1,IF(Data!AM154&lt;=MEDIAN(Data!AM$4:AM$195),2,IF(Data!AM154&lt;=QUARTILE(Data!AM$4:AM$195,3),3,4)))</f>
        <v>3</v>
      </c>
      <c r="AN154" s="22">
        <f>IF(Data!AN154&lt;=QUARTILE(Data!AN$4:AN$195,1),1,IF(Data!AN154&lt;=MEDIAN(Data!AN$4:AN$195),2,IF(Data!AN154&lt;=QUARTILE(Data!AN$4:AN$195,3),3,4)))</f>
        <v>3</v>
      </c>
      <c r="AO154" s="28">
        <f>IF(Data!AO154&lt;=QUARTILE(Data!AO$4:AO$195,1),1,IF(Data!AO154&lt;=MEDIAN(Data!AO$4:AO$195),2,IF(Data!AO154&lt;=QUARTILE(Data!AO$4:AO$195,3),3,4)))</f>
        <v>2</v>
      </c>
      <c r="AP154" s="28">
        <f>IF(Data!AP154&lt;=QUARTILE(Data!AP$4:AP$195,1),1,IF(Data!AP154&lt;=MEDIAN(Data!AP$4:AP$195),2,IF(Data!AP154&lt;=QUARTILE(Data!AP$4:AP$195,3),3,4)))</f>
        <v>1</v>
      </c>
      <c r="AQ154" s="28">
        <f>IF(Data!AQ154&lt;=QUARTILE(Data!AQ$4:AQ$195,1),1,IF(Data!AQ154&lt;=MEDIAN(Data!AQ$4:AQ$195),2,IF(Data!AQ154&lt;=QUARTILE(Data!AQ$4:AQ$195,3),3,4)))</f>
        <v>2</v>
      </c>
      <c r="AR154" s="28">
        <f>IF(Data!AR154&lt;=QUARTILE(Data!AR$4:AR$195,1),1,IF(Data!AR154&lt;=MEDIAN(Data!AR$4:AR$195),2,IF(Data!AR154&lt;=QUARTILE(Data!AR$4:AR$195,3),3,4)))</f>
        <v>1</v>
      </c>
      <c r="AS154" s="28">
        <f>IF(Data!AS154&lt;=QUARTILE(Data!AS$4:AS$195,1),1,IF(Data!AS154&lt;=MEDIAN(Data!AS$4:AS$195),2,IF(Data!AS154&lt;=QUARTILE(Data!AS$4:AS$195,3),3,4)))</f>
        <v>2</v>
      </c>
      <c r="AT154" s="28">
        <f>IF(Data!AT154&lt;=QUARTILE(Data!AT$4:AT$195,1),1,IF(Data!AT154&lt;=MEDIAN(Data!AT$4:AT$195),2,IF(Data!AT154&lt;=QUARTILE(Data!AT$4:AT$195,3),3,4)))</f>
        <v>3</v>
      </c>
      <c r="AU154" s="22">
        <f>IF(Data!AU154&lt;=QUARTILE(Data!AU$4:AU$195,1),1,IF(Data!AU154&lt;=MEDIAN(Data!AU$4:AU$195),2,IF(Data!AU154&lt;=QUARTILE(Data!AU$4:AU$195,3),3,4)))</f>
        <v>3</v>
      </c>
      <c r="AV154" s="25">
        <f>IF(Data!AV154&lt;=QUARTILE(Data!AV$4:AV$195,1),1,IF(Data!AV154&lt;=MEDIAN(Data!AV$4:AV$195),2,IF(Data!AV154&lt;=QUARTILE(Data!AV$4:AV$195,3),3,4)))</f>
        <v>4</v>
      </c>
      <c r="AW154" s="28">
        <f>IF(Data!AW154&lt;=QUARTILE(Data!AW$4:AW$195,1),1,IF(Data!AW154&lt;=MEDIAN(Data!AW$4:AW$195),2,IF(Data!AW154&lt;=QUARTILE(Data!AW$4:AW$195,3),3,4)))</f>
        <v>4</v>
      </c>
      <c r="AX154" s="28">
        <f>IF(Data!AX154&lt;=QUARTILE(Data!AX$4:AX$195,1),1,IF(Data!AX154&lt;=MEDIAN(Data!AX$4:AX$195),2,IF(Data!AX154&lt;=QUARTILE(Data!AX$4:AX$195,3),3,4)))</f>
        <v>4</v>
      </c>
      <c r="AY154" s="22">
        <f>IF(Data!AY154&lt;=QUARTILE(Data!AY$4:AY$195,1),1,IF(Data!AY154&lt;=MEDIAN(Data!AY$4:AY$195),2,IF(Data!AY154&lt;=QUARTILE(Data!AY$4:AY$195,3),3,4)))</f>
        <v>3</v>
      </c>
      <c r="AZ154" s="25">
        <f>IF(Data!AZ154&lt;=QUARTILE(Data!AZ$4:AZ$195,1),1,IF(Data!AZ154&lt;=MEDIAN(Data!AZ$4:AZ$195),2,IF(Data!AZ154&lt;=QUARTILE(Data!AZ$4:AZ$195,3),3,4)))</f>
        <v>1</v>
      </c>
      <c r="BA154" s="22">
        <f>IF(Data!BA154&lt;=QUARTILE(Data!BA$4:BA$195,1),1,IF(Data!BA154&lt;=MEDIAN(Data!BA$4:BA$195),2,IF(Data!BA154&lt;=QUARTILE(Data!BA$4:BA$195,3),3,4)))</f>
        <v>3</v>
      </c>
    </row>
    <row r="155" spans="1:53" x14ac:dyDescent="0.25">
      <c r="A155" s="4" t="s">
        <v>20</v>
      </c>
      <c r="B155" s="40">
        <v>2005</v>
      </c>
      <c r="C155" s="25">
        <v>6</v>
      </c>
      <c r="D155" s="28">
        <v>10</v>
      </c>
      <c r="E155" s="77" t="s">
        <v>96</v>
      </c>
      <c r="F155" s="28">
        <v>-2.2999999999999998</v>
      </c>
      <c r="G155" s="28">
        <v>-0.6</v>
      </c>
      <c r="H155" s="22">
        <v>-1.7</v>
      </c>
      <c r="I155" s="25">
        <f>IF(Data!I155&lt;=QUARTILE(Data!I$4:I$195,1),1,IF(Data!I155&lt;=MEDIAN(Data!I$4:I$195),2,IF(Data!I155&lt;=QUARTILE(Data!I$4:I$195,3),3,4)))</f>
        <v>2</v>
      </c>
      <c r="J155" s="28">
        <f>IF(Data!J155&lt;=QUARTILE(Data!J$4:J$195,1),1,IF(Data!J155&lt;=MEDIAN(Data!J$4:J$195),2,IF(Data!J155&lt;=QUARTILE(Data!J$4:J$195,3),3,4)))</f>
        <v>2</v>
      </c>
      <c r="K155" s="28">
        <f>IF(Data!K155&lt;=QUARTILE(Data!K$4:K$195,1),1,IF(Data!K155&lt;=MEDIAN(Data!K$4:K$195),2,IF(Data!K155&lt;=QUARTILE(Data!K$4:K$195,3),3,4)))</f>
        <v>3</v>
      </c>
      <c r="L155" s="22">
        <f>IF(Data!L155&lt;=QUARTILE(Data!L$4:L$195,1),1,IF(Data!L155&lt;=MEDIAN(Data!L$4:L$195),2,IF(Data!L155&lt;=QUARTILE(Data!L$4:L$195,3),3,4)))</f>
        <v>2</v>
      </c>
      <c r="M155" s="28">
        <f>IF(Data!M155&lt;=QUARTILE(Data!M$4:M$195,1),1,IF(Data!M155&lt;=MEDIAN(Data!M$4:M$195),2,IF(Data!M155&lt;=QUARTILE(Data!M$4:M$195,3),3,4)))</f>
        <v>3</v>
      </c>
      <c r="N155" s="28">
        <f>IF(Data!N155&lt;=QUARTILE(Data!N$4:N$195,1),1,IF(Data!N155&lt;=MEDIAN(Data!N$4:N$195),2,IF(Data!N155&lt;=QUARTILE(Data!N$4:N$195,3),3,4)))</f>
        <v>4</v>
      </c>
      <c r="O155" s="28">
        <f>IF(Data!O155&lt;=QUARTILE(Data!O$4:O$195,1),1,IF(Data!O155&lt;=MEDIAN(Data!O$4:O$195),2,IF(Data!O155&lt;=QUARTILE(Data!O$4:O$195,3),3,4)))</f>
        <v>3</v>
      </c>
      <c r="P155" s="28">
        <f>IF(Data!P155&lt;=QUARTILE(Data!P$4:P$195,1),1,IF(Data!P155&lt;=MEDIAN(Data!P$4:P$195),2,IF(Data!P155&lt;=QUARTILE(Data!P$4:P$195,3),3,4)))</f>
        <v>2</v>
      </c>
      <c r="Q155" s="28">
        <f>IF(Data!Q155&lt;=QUARTILE(Data!Q$4:Q$195,1),1,IF(Data!Q155&lt;=MEDIAN(Data!Q$4:Q$195),2,IF(Data!Q155&lt;=QUARTILE(Data!Q$4:Q$195,3),3,4)))</f>
        <v>3</v>
      </c>
      <c r="R155" s="28">
        <f>IF(Data!R155&lt;=QUARTILE(Data!R$4:R$195,1),1,IF(Data!R155&lt;=MEDIAN(Data!R$4:R$195),2,IF(Data!R155&lt;=QUARTILE(Data!R$4:R$195,3),3,4)))</f>
        <v>1</v>
      </c>
      <c r="S155" s="28">
        <f>IF(Data!S155&lt;=QUARTILE(Data!S$4:S$195,1),1,IF(Data!S155&lt;=MEDIAN(Data!S$4:S$195),2,IF(Data!S155&lt;=QUARTILE(Data!S$4:S$195,3),3,4)))</f>
        <v>3</v>
      </c>
      <c r="T155" s="22">
        <f>IF(Data!T155&lt;=QUARTILE(Data!T$4:T$195,1),1,IF(Data!T155&lt;=MEDIAN(Data!T$4:T$195),2,IF(Data!T155&lt;=QUARTILE(Data!T$4:T$195,3),3,4)))</f>
        <v>3</v>
      </c>
      <c r="U155" s="25">
        <f>IF(Data!U155&lt;=QUARTILE(Data!U$4:U$195,1),1,IF(Data!U155&lt;=MEDIAN(Data!U$4:U$195),2,IF(Data!U155&lt;=QUARTILE(Data!U$4:U$195,3),3,4)))</f>
        <v>1</v>
      </c>
      <c r="V155" s="28">
        <f>IF(Data!V155&lt;=QUARTILE(Data!V$4:V$195,1),1,IF(Data!V155&lt;=MEDIAN(Data!V$4:V$195),2,IF(Data!V155&lt;=QUARTILE(Data!V$4:V$195,3),3,4)))</f>
        <v>1</v>
      </c>
      <c r="W155" s="28">
        <f>IF(Data!W155&lt;=QUARTILE(Data!W$4:W$195,1),1,IF(Data!W155&lt;=MEDIAN(Data!W$4:W$195),2,IF(Data!W155&lt;=QUARTILE(Data!W$4:W$195,3),3,4)))</f>
        <v>2</v>
      </c>
      <c r="X155" s="22">
        <f>IF(Data!X155&lt;=QUARTILE(Data!X$4:X$195,1),1,IF(Data!X155&lt;=MEDIAN(Data!X$4:X$195),2,IF(Data!X155&lt;=QUARTILE(Data!X$4:X$195,3),3,4)))</f>
        <v>1</v>
      </c>
      <c r="Y155" s="30">
        <f>IF(Data!Y155&lt;=QUARTILE(Data!Y$4:Y$195,1),1,IF(Data!Y155&lt;=MEDIAN(Data!Y$4:Y$195),2,IF(Data!Y155&lt;=QUARTILE(Data!Y$4:Y$195,3),3,4)))</f>
        <v>4</v>
      </c>
      <c r="Z155" s="30">
        <f>IF(Data!Z155&lt;=QUARTILE(Data!Z$4:Z$195,1),1,IF(Data!Z155&lt;=MEDIAN(Data!Z$4:Z$195),2,IF(Data!Z155&lt;=QUARTILE(Data!Z$4:Z$195,3),3,4)))</f>
        <v>3</v>
      </c>
      <c r="AA155" s="25">
        <f>IF(Data!AA155&lt;=QUARTILE(Data!AA$4:AA$195,1),1,IF(Data!AA155&lt;=MEDIAN(Data!AA$4:AA$195),2,IF(Data!AA155&lt;=QUARTILE(Data!AA$4:AA$195,3),3,4)))</f>
        <v>4</v>
      </c>
      <c r="AB155" s="22">
        <f>IF(Data!AB155&lt;=QUARTILE(Data!AB$4:AB$195,1),1,IF(Data!AB155&lt;=MEDIAN(Data!AB$4:AB$195),2,IF(Data!AB155&lt;=QUARTILE(Data!AB$4:AB$195,3),3,4)))</f>
        <v>4</v>
      </c>
      <c r="AC155" s="25">
        <f>IF(Data!AC155&lt;=QUARTILE(Data!AC$4:AC$195,1),1,IF(Data!AC155&lt;=MEDIAN(Data!AC$4:AC$195),2,IF(Data!AC155&lt;=QUARTILE(Data!AC$4:AC$195,3),3,4)))</f>
        <v>3</v>
      </c>
      <c r="AD155" s="22">
        <f>IF(Data!AD155&lt;=QUARTILE(Data!AD$4:AD$195,1),1,IF(Data!AD155&lt;=MEDIAN(Data!AD$4:AD$195),2,IF(Data!AD155&lt;=QUARTILE(Data!AD$4:AD$195,3),3,4)))</f>
        <v>3</v>
      </c>
      <c r="AE155" s="28">
        <f>IF(Data!AE155&lt;=QUARTILE(Data!AE$4:AE$195,1),1,IF(Data!AE155&lt;=MEDIAN(Data!AE$4:AE$195),2,IF(Data!AE155&lt;=QUARTILE(Data!AE$4:AE$195,3),3,4)))</f>
        <v>1</v>
      </c>
      <c r="AF155" s="28">
        <f>IF(Data!AF155&lt;=QUARTILE(Data!AF$4:AF$195,1),1,IF(Data!AF155&lt;=MEDIAN(Data!AF$4:AF$195),2,IF(Data!AF155&lt;=QUARTILE(Data!AF$4:AF$195,3),3,4)))</f>
        <v>2</v>
      </c>
      <c r="AG155" s="28">
        <f>IF(Data!AG155&lt;=QUARTILE(Data!AG$4:AG$195,1),1,IF(Data!AG155&lt;=MEDIAN(Data!AG$4:AG$195),2,IF(Data!AG155&lt;=QUARTILE(Data!AG$4:AG$195,3),3,4)))</f>
        <v>3</v>
      </c>
      <c r="AH155" s="22">
        <f>IF(Data!AH155&lt;=QUARTILE(Data!AH$4:AH$195,1),1,IF(Data!AH155&lt;=MEDIAN(Data!AH$4:AH$195),2,IF(Data!AH155&lt;=QUARTILE(Data!AH$4:AH$195,3),3,4)))</f>
        <v>2</v>
      </c>
      <c r="AI155" s="25">
        <f>IF(Data!AI155&lt;=QUARTILE(Data!AI$4:AI$195,1),1,IF(Data!AI155&lt;=MEDIAN(Data!AI$4:AI$195),2,IF(Data!AI155&lt;=QUARTILE(Data!AI$4:AI$195,3),3,4)))</f>
        <v>4</v>
      </c>
      <c r="AJ155" s="22">
        <f>IF(Data!AJ155&lt;=QUARTILE(Data!AJ$4:AJ$195,1),1,IF(Data!AJ155&lt;=MEDIAN(Data!AJ$4:AJ$195),2,IF(Data!AJ155&lt;=QUARTILE(Data!AJ$4:AJ$195,3),3,4)))</f>
        <v>4</v>
      </c>
      <c r="AK155" s="25">
        <f>IF(Data!AK155&lt;=QUARTILE(Data!AK$4:AK$195,1),1,IF(Data!AK155&lt;=MEDIAN(Data!AK$4:AK$195),2,IF(Data!AK155&lt;=QUARTILE(Data!AK$4:AK$195,3),3,4)))</f>
        <v>4</v>
      </c>
      <c r="AL155" s="28">
        <f>IF(Data!AL155&lt;=QUARTILE(Data!AL$4:AL$195,1),1,IF(Data!AL155&lt;=MEDIAN(Data!AL$4:AL$195),2,IF(Data!AL155&lt;=QUARTILE(Data!AL$4:AL$195,3),3,4)))</f>
        <v>2</v>
      </c>
      <c r="AM155" s="28">
        <f>IF(Data!AM155&lt;=QUARTILE(Data!AM$4:AM$195,1),1,IF(Data!AM155&lt;=MEDIAN(Data!AM$4:AM$195),2,IF(Data!AM155&lt;=QUARTILE(Data!AM$4:AM$195,3),3,4)))</f>
        <v>4</v>
      </c>
      <c r="AN155" s="22">
        <f>IF(Data!AN155&lt;=QUARTILE(Data!AN$4:AN$195,1),1,IF(Data!AN155&lt;=MEDIAN(Data!AN$4:AN$195),2,IF(Data!AN155&lt;=QUARTILE(Data!AN$4:AN$195,3),3,4)))</f>
        <v>2</v>
      </c>
      <c r="AO155" s="28">
        <f>IF(Data!AO155&lt;=QUARTILE(Data!AO$4:AO$195,1),1,IF(Data!AO155&lt;=MEDIAN(Data!AO$4:AO$195),2,IF(Data!AO155&lt;=QUARTILE(Data!AO$4:AO$195,3),3,4)))</f>
        <v>2</v>
      </c>
      <c r="AP155" s="28">
        <f>IF(Data!AP155&lt;=QUARTILE(Data!AP$4:AP$195,1),1,IF(Data!AP155&lt;=MEDIAN(Data!AP$4:AP$195),2,IF(Data!AP155&lt;=QUARTILE(Data!AP$4:AP$195,3),3,4)))</f>
        <v>2</v>
      </c>
      <c r="AQ155" s="28">
        <f>IF(Data!AQ155&lt;=QUARTILE(Data!AQ$4:AQ$195,1),1,IF(Data!AQ155&lt;=MEDIAN(Data!AQ$4:AQ$195),2,IF(Data!AQ155&lt;=QUARTILE(Data!AQ$4:AQ$195,3),3,4)))</f>
        <v>2</v>
      </c>
      <c r="AR155" s="28">
        <f>IF(Data!AR155&lt;=QUARTILE(Data!AR$4:AR$195,1),1,IF(Data!AR155&lt;=MEDIAN(Data!AR$4:AR$195),2,IF(Data!AR155&lt;=QUARTILE(Data!AR$4:AR$195,3),3,4)))</f>
        <v>3</v>
      </c>
      <c r="AS155" s="28">
        <f>IF(Data!AS155&lt;=QUARTILE(Data!AS$4:AS$195,1),1,IF(Data!AS155&lt;=MEDIAN(Data!AS$4:AS$195),2,IF(Data!AS155&lt;=QUARTILE(Data!AS$4:AS$195,3),3,4)))</f>
        <v>2</v>
      </c>
      <c r="AT155" s="28">
        <f>IF(Data!AT155&lt;=QUARTILE(Data!AT$4:AT$195,1),1,IF(Data!AT155&lt;=MEDIAN(Data!AT$4:AT$195),2,IF(Data!AT155&lt;=QUARTILE(Data!AT$4:AT$195,3),3,4)))</f>
        <v>1</v>
      </c>
      <c r="AU155" s="22">
        <f>IF(Data!AU155&lt;=QUARTILE(Data!AU$4:AU$195,1),1,IF(Data!AU155&lt;=MEDIAN(Data!AU$4:AU$195),2,IF(Data!AU155&lt;=QUARTILE(Data!AU$4:AU$195,3),3,4)))</f>
        <v>1</v>
      </c>
      <c r="AV155" s="25">
        <f>IF(Data!AV155&lt;=QUARTILE(Data!AV$4:AV$195,1),1,IF(Data!AV155&lt;=MEDIAN(Data!AV$4:AV$195),2,IF(Data!AV155&lt;=QUARTILE(Data!AV$4:AV$195,3),3,4)))</f>
        <v>4</v>
      </c>
      <c r="AW155" s="28">
        <f>IF(Data!AW155&lt;=QUARTILE(Data!AW$4:AW$195,1),1,IF(Data!AW155&lt;=MEDIAN(Data!AW$4:AW$195),2,IF(Data!AW155&lt;=QUARTILE(Data!AW$4:AW$195,3),3,4)))</f>
        <v>3</v>
      </c>
      <c r="AX155" s="28">
        <f>IF(Data!AX155&lt;=QUARTILE(Data!AX$4:AX$195,1),1,IF(Data!AX155&lt;=MEDIAN(Data!AX$4:AX$195),2,IF(Data!AX155&lt;=QUARTILE(Data!AX$4:AX$195,3),3,4)))</f>
        <v>3</v>
      </c>
      <c r="AY155" s="22">
        <f>IF(Data!AY155&lt;=QUARTILE(Data!AY$4:AY$195,1),1,IF(Data!AY155&lt;=MEDIAN(Data!AY$4:AY$195),2,IF(Data!AY155&lt;=QUARTILE(Data!AY$4:AY$195,3),3,4)))</f>
        <v>2</v>
      </c>
      <c r="AZ155" s="25">
        <f>IF(Data!AZ155&lt;=QUARTILE(Data!AZ$4:AZ$195,1),1,IF(Data!AZ155&lt;=MEDIAN(Data!AZ$4:AZ$195),2,IF(Data!AZ155&lt;=QUARTILE(Data!AZ$4:AZ$195,3),3,4)))</f>
        <v>3</v>
      </c>
      <c r="BA155" s="22">
        <f>IF(Data!BA155&lt;=QUARTILE(Data!BA$4:BA$195,1),1,IF(Data!BA155&lt;=MEDIAN(Data!BA$4:BA$195),2,IF(Data!BA155&lt;=QUARTILE(Data!BA$4:BA$195,3),3,4)))</f>
        <v>2</v>
      </c>
    </row>
    <row r="156" spans="1:53" x14ac:dyDescent="0.25">
      <c r="A156" s="4" t="s">
        <v>9</v>
      </c>
      <c r="B156" s="40">
        <v>2005</v>
      </c>
      <c r="C156" s="25">
        <v>11</v>
      </c>
      <c r="D156" s="28">
        <v>5</v>
      </c>
      <c r="E156" s="77" t="s">
        <v>97</v>
      </c>
      <c r="F156" s="28">
        <v>7.8</v>
      </c>
      <c r="G156" s="28">
        <v>3.8</v>
      </c>
      <c r="H156" s="22">
        <v>4</v>
      </c>
      <c r="I156" s="25">
        <f>IF(Data!I156&lt;=QUARTILE(Data!I$4:I$195,1),1,IF(Data!I156&lt;=MEDIAN(Data!I$4:I$195),2,IF(Data!I156&lt;=QUARTILE(Data!I$4:I$195,3),3,4)))</f>
        <v>3</v>
      </c>
      <c r="J156" s="28">
        <f>IF(Data!J156&lt;=QUARTILE(Data!J$4:J$195,1),1,IF(Data!J156&lt;=MEDIAN(Data!J$4:J$195),2,IF(Data!J156&lt;=QUARTILE(Data!J$4:J$195,3),3,4)))</f>
        <v>2</v>
      </c>
      <c r="K156" s="28">
        <f>IF(Data!K156&lt;=QUARTILE(Data!K$4:K$195,1),1,IF(Data!K156&lt;=MEDIAN(Data!K$4:K$195),2,IF(Data!K156&lt;=QUARTILE(Data!K$4:K$195,3),3,4)))</f>
        <v>1</v>
      </c>
      <c r="L156" s="22">
        <f>IF(Data!L156&lt;=QUARTILE(Data!L$4:L$195,1),1,IF(Data!L156&lt;=MEDIAN(Data!L$4:L$195),2,IF(Data!L156&lt;=QUARTILE(Data!L$4:L$195,3),3,4)))</f>
        <v>2</v>
      </c>
      <c r="M156" s="28">
        <f>IF(Data!M156&lt;=QUARTILE(Data!M$4:M$195,1),1,IF(Data!M156&lt;=MEDIAN(Data!M$4:M$195),2,IF(Data!M156&lt;=QUARTILE(Data!M$4:M$195,3),3,4)))</f>
        <v>1</v>
      </c>
      <c r="N156" s="28">
        <f>IF(Data!N156&lt;=QUARTILE(Data!N$4:N$195,1),1,IF(Data!N156&lt;=MEDIAN(Data!N$4:N$195),2,IF(Data!N156&lt;=QUARTILE(Data!N$4:N$195,3),3,4)))</f>
        <v>1</v>
      </c>
      <c r="O156" s="28">
        <f>IF(Data!O156&lt;=QUARTILE(Data!O$4:O$195,1),1,IF(Data!O156&lt;=MEDIAN(Data!O$4:O$195),2,IF(Data!O156&lt;=QUARTILE(Data!O$4:O$195,3),3,4)))</f>
        <v>2</v>
      </c>
      <c r="P156" s="28">
        <f>IF(Data!P156&lt;=QUARTILE(Data!P$4:P$195,1),1,IF(Data!P156&lt;=MEDIAN(Data!P$4:P$195),2,IF(Data!P156&lt;=QUARTILE(Data!P$4:P$195,3),3,4)))</f>
        <v>2</v>
      </c>
      <c r="Q156" s="28">
        <f>IF(Data!Q156&lt;=QUARTILE(Data!Q$4:Q$195,1),1,IF(Data!Q156&lt;=MEDIAN(Data!Q$4:Q$195),2,IF(Data!Q156&lt;=QUARTILE(Data!Q$4:Q$195,3),3,4)))</f>
        <v>1</v>
      </c>
      <c r="R156" s="28">
        <f>IF(Data!R156&lt;=QUARTILE(Data!R$4:R$195,1),1,IF(Data!R156&lt;=MEDIAN(Data!R$4:R$195),2,IF(Data!R156&lt;=QUARTILE(Data!R$4:R$195,3),3,4)))</f>
        <v>4</v>
      </c>
      <c r="S156" s="28">
        <f>IF(Data!S156&lt;=QUARTILE(Data!S$4:S$195,1),1,IF(Data!S156&lt;=MEDIAN(Data!S$4:S$195),2,IF(Data!S156&lt;=QUARTILE(Data!S$4:S$195,3),3,4)))</f>
        <v>2</v>
      </c>
      <c r="T156" s="22">
        <f>IF(Data!T156&lt;=QUARTILE(Data!T$4:T$195,1),1,IF(Data!T156&lt;=MEDIAN(Data!T$4:T$195),2,IF(Data!T156&lt;=QUARTILE(Data!T$4:T$195,3),3,4)))</f>
        <v>2</v>
      </c>
      <c r="U156" s="25">
        <f>IF(Data!U156&lt;=QUARTILE(Data!U$4:U$195,1),1,IF(Data!U156&lt;=MEDIAN(Data!U$4:U$195),2,IF(Data!U156&lt;=QUARTILE(Data!U$4:U$195,3),3,4)))</f>
        <v>4</v>
      </c>
      <c r="V156" s="28">
        <f>IF(Data!V156&lt;=QUARTILE(Data!V$4:V$195,1),1,IF(Data!V156&lt;=MEDIAN(Data!V$4:V$195),2,IF(Data!V156&lt;=QUARTILE(Data!V$4:V$195,3),3,4)))</f>
        <v>4</v>
      </c>
      <c r="W156" s="28">
        <f>IF(Data!W156&lt;=QUARTILE(Data!W$4:W$195,1),1,IF(Data!W156&lt;=MEDIAN(Data!W$4:W$195),2,IF(Data!W156&lt;=QUARTILE(Data!W$4:W$195,3),3,4)))</f>
        <v>4</v>
      </c>
      <c r="X156" s="22">
        <f>IF(Data!X156&lt;=QUARTILE(Data!X$4:X$195,1),1,IF(Data!X156&lt;=MEDIAN(Data!X$4:X$195),2,IF(Data!X156&lt;=QUARTILE(Data!X$4:X$195,3),3,4)))</f>
        <v>4</v>
      </c>
      <c r="Y156" s="30">
        <f>IF(Data!Y156&lt;=QUARTILE(Data!Y$4:Y$195,1),1,IF(Data!Y156&lt;=MEDIAN(Data!Y$4:Y$195),2,IF(Data!Y156&lt;=QUARTILE(Data!Y$4:Y$195,3),3,4)))</f>
        <v>2</v>
      </c>
      <c r="Z156" s="30">
        <f>IF(Data!Z156&lt;=QUARTILE(Data!Z$4:Z$195,1),1,IF(Data!Z156&lt;=MEDIAN(Data!Z$4:Z$195),2,IF(Data!Z156&lt;=QUARTILE(Data!Z$4:Z$195,3),3,4)))</f>
        <v>1</v>
      </c>
      <c r="AA156" s="25">
        <f>IF(Data!AA156&lt;=QUARTILE(Data!AA$4:AA$195,1),1,IF(Data!AA156&lt;=MEDIAN(Data!AA$4:AA$195),2,IF(Data!AA156&lt;=QUARTILE(Data!AA$4:AA$195,3),3,4)))</f>
        <v>4</v>
      </c>
      <c r="AB156" s="22">
        <f>IF(Data!AB156&lt;=QUARTILE(Data!AB$4:AB$195,1),1,IF(Data!AB156&lt;=MEDIAN(Data!AB$4:AB$195),2,IF(Data!AB156&lt;=QUARTILE(Data!AB$4:AB$195,3),3,4)))</f>
        <v>4</v>
      </c>
      <c r="AC156" s="25">
        <f>IF(Data!AC156&lt;=QUARTILE(Data!AC$4:AC$195,1),1,IF(Data!AC156&lt;=MEDIAN(Data!AC$4:AC$195),2,IF(Data!AC156&lt;=QUARTILE(Data!AC$4:AC$195,3),3,4)))</f>
        <v>1</v>
      </c>
      <c r="AD156" s="22">
        <f>IF(Data!AD156&lt;=QUARTILE(Data!AD$4:AD$195,1),1,IF(Data!AD156&lt;=MEDIAN(Data!AD$4:AD$195),2,IF(Data!AD156&lt;=QUARTILE(Data!AD$4:AD$195,3),3,4)))</f>
        <v>1</v>
      </c>
      <c r="AE156" s="28">
        <f>IF(Data!AE156&lt;=QUARTILE(Data!AE$4:AE$195,1),1,IF(Data!AE156&lt;=MEDIAN(Data!AE$4:AE$195),2,IF(Data!AE156&lt;=QUARTILE(Data!AE$4:AE$195,3),3,4)))</f>
        <v>2</v>
      </c>
      <c r="AF156" s="28">
        <f>IF(Data!AF156&lt;=QUARTILE(Data!AF$4:AF$195,1),1,IF(Data!AF156&lt;=MEDIAN(Data!AF$4:AF$195),2,IF(Data!AF156&lt;=QUARTILE(Data!AF$4:AF$195,3),3,4)))</f>
        <v>3</v>
      </c>
      <c r="AG156" s="28">
        <f>IF(Data!AG156&lt;=QUARTILE(Data!AG$4:AG$195,1),1,IF(Data!AG156&lt;=MEDIAN(Data!AG$4:AG$195),2,IF(Data!AG156&lt;=QUARTILE(Data!AG$4:AG$195,3),3,4)))</f>
        <v>2</v>
      </c>
      <c r="AH156" s="22">
        <f>IF(Data!AH156&lt;=QUARTILE(Data!AH$4:AH$195,1),1,IF(Data!AH156&lt;=MEDIAN(Data!AH$4:AH$195),2,IF(Data!AH156&lt;=QUARTILE(Data!AH$4:AH$195,3),3,4)))</f>
        <v>1</v>
      </c>
      <c r="AI156" s="25">
        <f>IF(Data!AI156&lt;=QUARTILE(Data!AI$4:AI$195,1),1,IF(Data!AI156&lt;=MEDIAN(Data!AI$4:AI$195),2,IF(Data!AI156&lt;=QUARTILE(Data!AI$4:AI$195,3),3,4)))</f>
        <v>2</v>
      </c>
      <c r="AJ156" s="22">
        <f>IF(Data!AJ156&lt;=QUARTILE(Data!AJ$4:AJ$195,1),1,IF(Data!AJ156&lt;=MEDIAN(Data!AJ$4:AJ$195),2,IF(Data!AJ156&lt;=QUARTILE(Data!AJ$4:AJ$195,3),3,4)))</f>
        <v>2</v>
      </c>
      <c r="AK156" s="25">
        <f>IF(Data!AK156&lt;=QUARTILE(Data!AK$4:AK$195,1),1,IF(Data!AK156&lt;=MEDIAN(Data!AK$4:AK$195),2,IF(Data!AK156&lt;=QUARTILE(Data!AK$4:AK$195,3),3,4)))</f>
        <v>1</v>
      </c>
      <c r="AL156" s="28">
        <f>IF(Data!AL156&lt;=QUARTILE(Data!AL$4:AL$195,1),1,IF(Data!AL156&lt;=MEDIAN(Data!AL$4:AL$195),2,IF(Data!AL156&lt;=QUARTILE(Data!AL$4:AL$195,3),3,4)))</f>
        <v>1</v>
      </c>
      <c r="AM156" s="28">
        <f>IF(Data!AM156&lt;=QUARTILE(Data!AM$4:AM$195,1),1,IF(Data!AM156&lt;=MEDIAN(Data!AM$4:AM$195),2,IF(Data!AM156&lt;=QUARTILE(Data!AM$4:AM$195,3),3,4)))</f>
        <v>2</v>
      </c>
      <c r="AN156" s="22">
        <f>IF(Data!AN156&lt;=QUARTILE(Data!AN$4:AN$195,1),1,IF(Data!AN156&lt;=MEDIAN(Data!AN$4:AN$195),2,IF(Data!AN156&lt;=QUARTILE(Data!AN$4:AN$195,3),3,4)))</f>
        <v>1</v>
      </c>
      <c r="AO156" s="28">
        <f>IF(Data!AO156&lt;=QUARTILE(Data!AO$4:AO$195,1),1,IF(Data!AO156&lt;=MEDIAN(Data!AO$4:AO$195),2,IF(Data!AO156&lt;=QUARTILE(Data!AO$4:AO$195,3),3,4)))</f>
        <v>3</v>
      </c>
      <c r="AP156" s="28">
        <f>IF(Data!AP156&lt;=QUARTILE(Data!AP$4:AP$195,1),1,IF(Data!AP156&lt;=MEDIAN(Data!AP$4:AP$195),2,IF(Data!AP156&lt;=QUARTILE(Data!AP$4:AP$195,3),3,4)))</f>
        <v>4</v>
      </c>
      <c r="AQ156" s="28">
        <f>IF(Data!AQ156&lt;=QUARTILE(Data!AQ$4:AQ$195,1),1,IF(Data!AQ156&lt;=MEDIAN(Data!AQ$4:AQ$195),2,IF(Data!AQ156&lt;=QUARTILE(Data!AQ$4:AQ$195,3),3,4)))</f>
        <v>2</v>
      </c>
      <c r="AR156" s="28">
        <f>IF(Data!AR156&lt;=QUARTILE(Data!AR$4:AR$195,1),1,IF(Data!AR156&lt;=MEDIAN(Data!AR$4:AR$195),2,IF(Data!AR156&lt;=QUARTILE(Data!AR$4:AR$195,3),3,4)))</f>
        <v>1</v>
      </c>
      <c r="AS156" s="28">
        <f>IF(Data!AS156&lt;=QUARTILE(Data!AS$4:AS$195,1),1,IF(Data!AS156&lt;=MEDIAN(Data!AS$4:AS$195),2,IF(Data!AS156&lt;=QUARTILE(Data!AS$4:AS$195,3),3,4)))</f>
        <v>3</v>
      </c>
      <c r="AT156" s="28">
        <f>IF(Data!AT156&lt;=QUARTILE(Data!AT$4:AT$195,1),1,IF(Data!AT156&lt;=MEDIAN(Data!AT$4:AT$195),2,IF(Data!AT156&lt;=QUARTILE(Data!AT$4:AT$195,3),3,4)))</f>
        <v>4</v>
      </c>
      <c r="AU156" s="22">
        <f>IF(Data!AU156&lt;=QUARTILE(Data!AU$4:AU$195,1),1,IF(Data!AU156&lt;=MEDIAN(Data!AU$4:AU$195),2,IF(Data!AU156&lt;=QUARTILE(Data!AU$4:AU$195,3),3,4)))</f>
        <v>4</v>
      </c>
      <c r="AV156" s="25">
        <f>IF(Data!AV156&lt;=QUARTILE(Data!AV$4:AV$195,1),1,IF(Data!AV156&lt;=MEDIAN(Data!AV$4:AV$195),2,IF(Data!AV156&lt;=QUARTILE(Data!AV$4:AV$195,3),3,4)))</f>
        <v>1</v>
      </c>
      <c r="AW156" s="28">
        <f>IF(Data!AW156&lt;=QUARTILE(Data!AW$4:AW$195,1),1,IF(Data!AW156&lt;=MEDIAN(Data!AW$4:AW$195),2,IF(Data!AW156&lt;=QUARTILE(Data!AW$4:AW$195,3),3,4)))</f>
        <v>1</v>
      </c>
      <c r="AX156" s="28">
        <f>IF(Data!AX156&lt;=QUARTILE(Data!AX$4:AX$195,1),1,IF(Data!AX156&lt;=MEDIAN(Data!AX$4:AX$195),2,IF(Data!AX156&lt;=QUARTILE(Data!AX$4:AX$195,3),3,4)))</f>
        <v>1</v>
      </c>
      <c r="AY156" s="22">
        <f>IF(Data!AY156&lt;=QUARTILE(Data!AY$4:AY$195,1),1,IF(Data!AY156&lt;=MEDIAN(Data!AY$4:AY$195),2,IF(Data!AY156&lt;=QUARTILE(Data!AY$4:AY$195,3),3,4)))</f>
        <v>1</v>
      </c>
      <c r="AZ156" s="25">
        <f>IF(Data!AZ156&lt;=QUARTILE(Data!AZ$4:AZ$195,1),1,IF(Data!AZ156&lt;=MEDIAN(Data!AZ$4:AZ$195),2,IF(Data!AZ156&lt;=QUARTILE(Data!AZ$4:AZ$195,3),3,4)))</f>
        <v>2</v>
      </c>
      <c r="BA156" s="22">
        <f>IF(Data!BA156&lt;=QUARTILE(Data!BA$4:BA$195,1),1,IF(Data!BA156&lt;=MEDIAN(Data!BA$4:BA$195),2,IF(Data!BA156&lt;=QUARTILE(Data!BA$4:BA$195,3),3,4)))</f>
        <v>4</v>
      </c>
    </row>
    <row r="157" spans="1:53" x14ac:dyDescent="0.25">
      <c r="A157" s="4" t="s">
        <v>15</v>
      </c>
      <c r="B157" s="40">
        <v>2005</v>
      </c>
      <c r="C157" s="25">
        <v>9</v>
      </c>
      <c r="D157" s="28">
        <v>7</v>
      </c>
      <c r="E157" s="77" t="s">
        <v>96</v>
      </c>
      <c r="F157" s="28">
        <v>9.9</v>
      </c>
      <c r="G157" s="28">
        <v>7.1</v>
      </c>
      <c r="H157" s="22">
        <v>2.9</v>
      </c>
      <c r="I157" s="25">
        <f>IF(Data!I157&lt;=QUARTILE(Data!I$4:I$195,1),1,IF(Data!I157&lt;=MEDIAN(Data!I$4:I$195),2,IF(Data!I157&lt;=QUARTILE(Data!I$4:I$195,3),3,4)))</f>
        <v>4</v>
      </c>
      <c r="J157" s="28">
        <f>IF(Data!J157&lt;=QUARTILE(Data!J$4:J$195,1),1,IF(Data!J157&lt;=MEDIAN(Data!J$4:J$195),2,IF(Data!J157&lt;=QUARTILE(Data!J$4:J$195,3),3,4)))</f>
        <v>3</v>
      </c>
      <c r="K157" s="28">
        <f>IF(Data!K157&lt;=QUARTILE(Data!K$4:K$195,1),1,IF(Data!K157&lt;=MEDIAN(Data!K$4:K$195),2,IF(Data!K157&lt;=QUARTILE(Data!K$4:K$195,3),3,4)))</f>
        <v>3</v>
      </c>
      <c r="L157" s="22">
        <f>IF(Data!L157&lt;=QUARTILE(Data!L$4:L$195,1),1,IF(Data!L157&lt;=MEDIAN(Data!L$4:L$195),2,IF(Data!L157&lt;=QUARTILE(Data!L$4:L$195,3),3,4)))</f>
        <v>4</v>
      </c>
      <c r="M157" s="28">
        <f>IF(Data!M157&lt;=QUARTILE(Data!M$4:M$195,1),1,IF(Data!M157&lt;=MEDIAN(Data!M$4:M$195),2,IF(Data!M157&lt;=QUARTILE(Data!M$4:M$195,3),3,4)))</f>
        <v>3</v>
      </c>
      <c r="N157" s="28">
        <f>IF(Data!N157&lt;=QUARTILE(Data!N$4:N$195,1),1,IF(Data!N157&lt;=MEDIAN(Data!N$4:N$195),2,IF(Data!N157&lt;=QUARTILE(Data!N$4:N$195,3),3,4)))</f>
        <v>3</v>
      </c>
      <c r="O157" s="28">
        <f>IF(Data!O157&lt;=QUARTILE(Data!O$4:O$195,1),1,IF(Data!O157&lt;=MEDIAN(Data!O$4:O$195),2,IF(Data!O157&lt;=QUARTILE(Data!O$4:O$195,3),3,4)))</f>
        <v>3</v>
      </c>
      <c r="P157" s="28">
        <f>IF(Data!P157&lt;=QUARTILE(Data!P$4:P$195,1),1,IF(Data!P157&lt;=MEDIAN(Data!P$4:P$195),2,IF(Data!P157&lt;=QUARTILE(Data!P$4:P$195,3),3,4)))</f>
        <v>4</v>
      </c>
      <c r="Q157" s="28">
        <f>IF(Data!Q157&lt;=QUARTILE(Data!Q$4:Q$195,1),1,IF(Data!Q157&lt;=MEDIAN(Data!Q$4:Q$195),2,IF(Data!Q157&lt;=QUARTILE(Data!Q$4:Q$195,3),3,4)))</f>
        <v>3</v>
      </c>
      <c r="R157" s="28">
        <f>IF(Data!R157&lt;=QUARTILE(Data!R$4:R$195,1),1,IF(Data!R157&lt;=MEDIAN(Data!R$4:R$195),2,IF(Data!R157&lt;=QUARTILE(Data!R$4:R$195,3),3,4)))</f>
        <v>4</v>
      </c>
      <c r="S157" s="28">
        <f>IF(Data!S157&lt;=QUARTILE(Data!S$4:S$195,1),1,IF(Data!S157&lt;=MEDIAN(Data!S$4:S$195),2,IF(Data!S157&lt;=QUARTILE(Data!S$4:S$195,3),3,4)))</f>
        <v>2</v>
      </c>
      <c r="T157" s="22">
        <f>IF(Data!T157&lt;=QUARTILE(Data!T$4:T$195,1),1,IF(Data!T157&lt;=MEDIAN(Data!T$4:T$195),2,IF(Data!T157&lt;=QUARTILE(Data!T$4:T$195,3),3,4)))</f>
        <v>3</v>
      </c>
      <c r="U157" s="25">
        <f>IF(Data!U157&lt;=QUARTILE(Data!U$4:U$195,1),1,IF(Data!U157&lt;=MEDIAN(Data!U$4:U$195),2,IF(Data!U157&lt;=QUARTILE(Data!U$4:U$195,3),3,4)))</f>
        <v>3</v>
      </c>
      <c r="V157" s="28">
        <f>IF(Data!V157&lt;=QUARTILE(Data!V$4:V$195,1),1,IF(Data!V157&lt;=MEDIAN(Data!V$4:V$195),2,IF(Data!V157&lt;=QUARTILE(Data!V$4:V$195,3),3,4)))</f>
        <v>4</v>
      </c>
      <c r="W157" s="28">
        <f>IF(Data!W157&lt;=QUARTILE(Data!W$4:W$195,1),1,IF(Data!W157&lt;=MEDIAN(Data!W$4:W$195),2,IF(Data!W157&lt;=QUARTILE(Data!W$4:W$195,3),3,4)))</f>
        <v>4</v>
      </c>
      <c r="X157" s="22">
        <f>IF(Data!X157&lt;=QUARTILE(Data!X$4:X$195,1),1,IF(Data!X157&lt;=MEDIAN(Data!X$4:X$195),2,IF(Data!X157&lt;=QUARTILE(Data!X$4:X$195,3),3,4)))</f>
        <v>4</v>
      </c>
      <c r="Y157" s="30">
        <f>IF(Data!Y157&lt;=QUARTILE(Data!Y$4:Y$195,1),1,IF(Data!Y157&lt;=MEDIAN(Data!Y$4:Y$195),2,IF(Data!Y157&lt;=QUARTILE(Data!Y$4:Y$195,3),3,4)))</f>
        <v>2</v>
      </c>
      <c r="Z157" s="30">
        <f>IF(Data!Z157&lt;=QUARTILE(Data!Z$4:Z$195,1),1,IF(Data!Z157&lt;=MEDIAN(Data!Z$4:Z$195),2,IF(Data!Z157&lt;=QUARTILE(Data!Z$4:Z$195,3),3,4)))</f>
        <v>2</v>
      </c>
      <c r="AA157" s="25">
        <f>IF(Data!AA157&lt;=QUARTILE(Data!AA$4:AA$195,1),1,IF(Data!AA157&lt;=MEDIAN(Data!AA$4:AA$195),2,IF(Data!AA157&lt;=QUARTILE(Data!AA$4:AA$195,3),3,4)))</f>
        <v>3</v>
      </c>
      <c r="AB157" s="22">
        <f>IF(Data!AB157&lt;=QUARTILE(Data!AB$4:AB$195,1),1,IF(Data!AB157&lt;=MEDIAN(Data!AB$4:AB$195),2,IF(Data!AB157&lt;=QUARTILE(Data!AB$4:AB$195,3),3,4)))</f>
        <v>2</v>
      </c>
      <c r="AC157" s="25">
        <f>IF(Data!AC157&lt;=QUARTILE(Data!AC$4:AC$195,1),1,IF(Data!AC157&lt;=MEDIAN(Data!AC$4:AC$195),2,IF(Data!AC157&lt;=QUARTILE(Data!AC$4:AC$195,3),3,4)))</f>
        <v>3</v>
      </c>
      <c r="AD157" s="22">
        <f>IF(Data!AD157&lt;=QUARTILE(Data!AD$4:AD$195,1),1,IF(Data!AD157&lt;=MEDIAN(Data!AD$4:AD$195),2,IF(Data!AD157&lt;=QUARTILE(Data!AD$4:AD$195,3),3,4)))</f>
        <v>4</v>
      </c>
      <c r="AE157" s="28">
        <f>IF(Data!AE157&lt;=QUARTILE(Data!AE$4:AE$195,1),1,IF(Data!AE157&lt;=MEDIAN(Data!AE$4:AE$195),2,IF(Data!AE157&lt;=QUARTILE(Data!AE$4:AE$195,3),3,4)))</f>
        <v>1</v>
      </c>
      <c r="AF157" s="28">
        <f>IF(Data!AF157&lt;=QUARTILE(Data!AF$4:AF$195,1),1,IF(Data!AF157&lt;=MEDIAN(Data!AF$4:AF$195),2,IF(Data!AF157&lt;=QUARTILE(Data!AF$4:AF$195,3),3,4)))</f>
        <v>1</v>
      </c>
      <c r="AG157" s="28">
        <f>IF(Data!AG157&lt;=QUARTILE(Data!AG$4:AG$195,1),1,IF(Data!AG157&lt;=MEDIAN(Data!AG$4:AG$195),2,IF(Data!AG157&lt;=QUARTILE(Data!AG$4:AG$195,3),3,4)))</f>
        <v>2</v>
      </c>
      <c r="AH157" s="22">
        <f>IF(Data!AH157&lt;=QUARTILE(Data!AH$4:AH$195,1),1,IF(Data!AH157&lt;=MEDIAN(Data!AH$4:AH$195),2,IF(Data!AH157&lt;=QUARTILE(Data!AH$4:AH$195,3),3,4)))</f>
        <v>2</v>
      </c>
      <c r="AI157" s="25">
        <f>IF(Data!AI157&lt;=QUARTILE(Data!AI$4:AI$195,1),1,IF(Data!AI157&lt;=MEDIAN(Data!AI$4:AI$195),2,IF(Data!AI157&lt;=QUARTILE(Data!AI$4:AI$195,3),3,4)))</f>
        <v>2</v>
      </c>
      <c r="AJ157" s="22">
        <f>IF(Data!AJ157&lt;=QUARTILE(Data!AJ$4:AJ$195,1),1,IF(Data!AJ157&lt;=MEDIAN(Data!AJ$4:AJ$195),2,IF(Data!AJ157&lt;=QUARTILE(Data!AJ$4:AJ$195,3),3,4)))</f>
        <v>2</v>
      </c>
      <c r="AK157" s="25">
        <f>IF(Data!AK157&lt;=QUARTILE(Data!AK$4:AK$195,1),1,IF(Data!AK157&lt;=MEDIAN(Data!AK$4:AK$195),2,IF(Data!AK157&lt;=QUARTILE(Data!AK$4:AK$195,3),3,4)))</f>
        <v>2</v>
      </c>
      <c r="AL157" s="28">
        <f>IF(Data!AL157&lt;=QUARTILE(Data!AL$4:AL$195,1),1,IF(Data!AL157&lt;=MEDIAN(Data!AL$4:AL$195),2,IF(Data!AL157&lt;=QUARTILE(Data!AL$4:AL$195,3),3,4)))</f>
        <v>2</v>
      </c>
      <c r="AM157" s="28">
        <f>IF(Data!AM157&lt;=QUARTILE(Data!AM$4:AM$195,1),1,IF(Data!AM157&lt;=MEDIAN(Data!AM$4:AM$195),2,IF(Data!AM157&lt;=QUARTILE(Data!AM$4:AM$195,3),3,4)))</f>
        <v>3</v>
      </c>
      <c r="AN157" s="22">
        <f>IF(Data!AN157&lt;=QUARTILE(Data!AN$4:AN$195,1),1,IF(Data!AN157&lt;=MEDIAN(Data!AN$4:AN$195),2,IF(Data!AN157&lt;=QUARTILE(Data!AN$4:AN$195,3),3,4)))</f>
        <v>3</v>
      </c>
      <c r="AO157" s="28">
        <f>IF(Data!AO157&lt;=QUARTILE(Data!AO$4:AO$195,1),1,IF(Data!AO157&lt;=MEDIAN(Data!AO$4:AO$195),2,IF(Data!AO157&lt;=QUARTILE(Data!AO$4:AO$195,3),3,4)))</f>
        <v>4</v>
      </c>
      <c r="AP157" s="28">
        <f>IF(Data!AP157&lt;=QUARTILE(Data!AP$4:AP$195,1),1,IF(Data!AP157&lt;=MEDIAN(Data!AP$4:AP$195),2,IF(Data!AP157&lt;=QUARTILE(Data!AP$4:AP$195,3),3,4)))</f>
        <v>4</v>
      </c>
      <c r="AQ157" s="28">
        <f>IF(Data!AQ157&lt;=QUARTILE(Data!AQ$4:AQ$195,1),1,IF(Data!AQ157&lt;=MEDIAN(Data!AQ$4:AQ$195),2,IF(Data!AQ157&lt;=QUARTILE(Data!AQ$4:AQ$195,3),3,4)))</f>
        <v>3</v>
      </c>
      <c r="AR157" s="28">
        <f>IF(Data!AR157&lt;=QUARTILE(Data!AR$4:AR$195,1),1,IF(Data!AR157&lt;=MEDIAN(Data!AR$4:AR$195),2,IF(Data!AR157&lt;=QUARTILE(Data!AR$4:AR$195,3),3,4)))</f>
        <v>2</v>
      </c>
      <c r="AS157" s="28">
        <f>IF(Data!AS157&lt;=QUARTILE(Data!AS$4:AS$195,1),1,IF(Data!AS157&lt;=MEDIAN(Data!AS$4:AS$195),2,IF(Data!AS157&lt;=QUARTILE(Data!AS$4:AS$195,3),3,4)))</f>
        <v>4</v>
      </c>
      <c r="AT157" s="28">
        <f>IF(Data!AT157&lt;=QUARTILE(Data!AT$4:AT$195,1),1,IF(Data!AT157&lt;=MEDIAN(Data!AT$4:AT$195),2,IF(Data!AT157&lt;=QUARTILE(Data!AT$4:AT$195,3),3,4)))</f>
        <v>4</v>
      </c>
      <c r="AU157" s="22">
        <f>IF(Data!AU157&lt;=QUARTILE(Data!AU$4:AU$195,1),1,IF(Data!AU157&lt;=MEDIAN(Data!AU$4:AU$195),2,IF(Data!AU157&lt;=QUARTILE(Data!AU$4:AU$195,3),3,4)))</f>
        <v>4</v>
      </c>
      <c r="AV157" s="25">
        <f>IF(Data!AV157&lt;=QUARTILE(Data!AV$4:AV$195,1),1,IF(Data!AV157&lt;=MEDIAN(Data!AV$4:AV$195),2,IF(Data!AV157&lt;=QUARTILE(Data!AV$4:AV$195,3),3,4)))</f>
        <v>1</v>
      </c>
      <c r="AW157" s="28">
        <f>IF(Data!AW157&lt;=QUARTILE(Data!AW$4:AW$195,1),1,IF(Data!AW157&lt;=MEDIAN(Data!AW$4:AW$195),2,IF(Data!AW157&lt;=QUARTILE(Data!AW$4:AW$195,3),3,4)))</f>
        <v>1</v>
      </c>
      <c r="AX157" s="28">
        <f>IF(Data!AX157&lt;=QUARTILE(Data!AX$4:AX$195,1),1,IF(Data!AX157&lt;=MEDIAN(Data!AX$4:AX$195),2,IF(Data!AX157&lt;=QUARTILE(Data!AX$4:AX$195,3),3,4)))</f>
        <v>3</v>
      </c>
      <c r="AY157" s="22">
        <f>IF(Data!AY157&lt;=QUARTILE(Data!AY$4:AY$195,1),1,IF(Data!AY157&lt;=MEDIAN(Data!AY$4:AY$195),2,IF(Data!AY157&lt;=QUARTILE(Data!AY$4:AY$195,3),3,4)))</f>
        <v>2</v>
      </c>
      <c r="AZ157" s="25">
        <f>IF(Data!AZ157&lt;=QUARTILE(Data!AZ$4:AZ$195,1),1,IF(Data!AZ157&lt;=MEDIAN(Data!AZ$4:AZ$195),2,IF(Data!AZ157&lt;=QUARTILE(Data!AZ$4:AZ$195,3),3,4)))</f>
        <v>1</v>
      </c>
      <c r="BA157" s="22">
        <f>IF(Data!BA157&lt;=QUARTILE(Data!BA$4:BA$195,1),1,IF(Data!BA157&lt;=MEDIAN(Data!BA$4:BA$195),2,IF(Data!BA157&lt;=QUARTILE(Data!BA$4:BA$195,3),3,4)))</f>
        <v>2</v>
      </c>
    </row>
    <row r="158" spans="1:53" x14ac:dyDescent="0.25">
      <c r="A158" s="4" t="s">
        <v>32</v>
      </c>
      <c r="B158" s="40">
        <v>2005</v>
      </c>
      <c r="C158" s="25">
        <v>4</v>
      </c>
      <c r="D158" s="28">
        <v>12</v>
      </c>
      <c r="E158" s="77" t="s">
        <v>96</v>
      </c>
      <c r="F158" s="28">
        <v>-11.1</v>
      </c>
      <c r="G158" s="28">
        <v>-5.6</v>
      </c>
      <c r="H158" s="22">
        <v>-5.5</v>
      </c>
      <c r="I158" s="25">
        <f>IF(Data!I158&lt;=QUARTILE(Data!I$4:I$195,1),1,IF(Data!I158&lt;=MEDIAN(Data!I$4:I$195),2,IF(Data!I158&lt;=QUARTILE(Data!I$4:I$195,3),3,4)))</f>
        <v>1</v>
      </c>
      <c r="J158" s="28">
        <f>IF(Data!J158&lt;=QUARTILE(Data!J$4:J$195,1),1,IF(Data!J158&lt;=MEDIAN(Data!J$4:J$195),2,IF(Data!J158&lt;=QUARTILE(Data!J$4:J$195,3),3,4)))</f>
        <v>1</v>
      </c>
      <c r="K158" s="28">
        <f>IF(Data!K158&lt;=QUARTILE(Data!K$4:K$195,1),1,IF(Data!K158&lt;=MEDIAN(Data!K$4:K$195),2,IF(Data!K158&lt;=QUARTILE(Data!K$4:K$195,3),3,4)))</f>
        <v>1</v>
      </c>
      <c r="L158" s="22">
        <f>IF(Data!L158&lt;=QUARTILE(Data!L$4:L$195,1),1,IF(Data!L158&lt;=MEDIAN(Data!L$4:L$195),2,IF(Data!L158&lt;=QUARTILE(Data!L$4:L$195,3),3,4)))</f>
        <v>1</v>
      </c>
      <c r="M158" s="28">
        <f>IF(Data!M158&lt;=QUARTILE(Data!M$4:M$195,1),1,IF(Data!M158&lt;=MEDIAN(Data!M$4:M$195),2,IF(Data!M158&lt;=QUARTILE(Data!M$4:M$195,3),3,4)))</f>
        <v>1</v>
      </c>
      <c r="N158" s="28">
        <f>IF(Data!N158&lt;=QUARTILE(Data!N$4:N$195,1),1,IF(Data!N158&lt;=MEDIAN(Data!N$4:N$195),2,IF(Data!N158&lt;=QUARTILE(Data!N$4:N$195,3),3,4)))</f>
        <v>1</v>
      </c>
      <c r="O158" s="28">
        <f>IF(Data!O158&lt;=QUARTILE(Data!O$4:O$195,1),1,IF(Data!O158&lt;=MEDIAN(Data!O$4:O$195),2,IF(Data!O158&lt;=QUARTILE(Data!O$4:O$195,3),3,4)))</f>
        <v>1</v>
      </c>
      <c r="P158" s="28">
        <f>IF(Data!P158&lt;=QUARTILE(Data!P$4:P$195,1),1,IF(Data!P158&lt;=MEDIAN(Data!P$4:P$195),2,IF(Data!P158&lt;=QUARTILE(Data!P$4:P$195,3),3,4)))</f>
        <v>1</v>
      </c>
      <c r="Q158" s="28">
        <f>IF(Data!Q158&lt;=QUARTILE(Data!Q$4:Q$195,1),1,IF(Data!Q158&lt;=MEDIAN(Data!Q$4:Q$195),2,IF(Data!Q158&lt;=QUARTILE(Data!Q$4:Q$195,3),3,4)))</f>
        <v>1</v>
      </c>
      <c r="R158" s="28">
        <f>IF(Data!R158&lt;=QUARTILE(Data!R$4:R$195,1),1,IF(Data!R158&lt;=MEDIAN(Data!R$4:R$195),2,IF(Data!R158&lt;=QUARTILE(Data!R$4:R$195,3),3,4)))</f>
        <v>1</v>
      </c>
      <c r="S158" s="28">
        <f>IF(Data!S158&lt;=QUARTILE(Data!S$4:S$195,1),1,IF(Data!S158&lt;=MEDIAN(Data!S$4:S$195),2,IF(Data!S158&lt;=QUARTILE(Data!S$4:S$195,3),3,4)))</f>
        <v>4</v>
      </c>
      <c r="T158" s="22">
        <f>IF(Data!T158&lt;=QUARTILE(Data!T$4:T$195,1),1,IF(Data!T158&lt;=MEDIAN(Data!T$4:T$195),2,IF(Data!T158&lt;=QUARTILE(Data!T$4:T$195,3),3,4)))</f>
        <v>4</v>
      </c>
      <c r="U158" s="25">
        <f>IF(Data!U158&lt;=QUARTILE(Data!U$4:U$195,1),1,IF(Data!U158&lt;=MEDIAN(Data!U$4:U$195),2,IF(Data!U158&lt;=QUARTILE(Data!U$4:U$195,3),3,4)))</f>
        <v>2</v>
      </c>
      <c r="V158" s="28">
        <f>IF(Data!V158&lt;=QUARTILE(Data!V$4:V$195,1),1,IF(Data!V158&lt;=MEDIAN(Data!V$4:V$195),2,IF(Data!V158&lt;=QUARTILE(Data!V$4:V$195,3),3,4)))</f>
        <v>2</v>
      </c>
      <c r="W158" s="28">
        <f>IF(Data!W158&lt;=QUARTILE(Data!W$4:W$195,1),1,IF(Data!W158&lt;=MEDIAN(Data!W$4:W$195),2,IF(Data!W158&lt;=QUARTILE(Data!W$4:W$195,3),3,4)))</f>
        <v>1</v>
      </c>
      <c r="X158" s="22">
        <f>IF(Data!X158&lt;=QUARTILE(Data!X$4:X$195,1),1,IF(Data!X158&lt;=MEDIAN(Data!X$4:X$195),2,IF(Data!X158&lt;=QUARTILE(Data!X$4:X$195,3),3,4)))</f>
        <v>1</v>
      </c>
      <c r="Y158" s="30">
        <f>IF(Data!Y158&lt;=QUARTILE(Data!Y$4:Y$195,1),1,IF(Data!Y158&lt;=MEDIAN(Data!Y$4:Y$195),2,IF(Data!Y158&lt;=QUARTILE(Data!Y$4:Y$195,3),3,4)))</f>
        <v>4</v>
      </c>
      <c r="Z158" s="30">
        <f>IF(Data!Z158&lt;=QUARTILE(Data!Z$4:Z$195,1),1,IF(Data!Z158&lt;=MEDIAN(Data!Z$4:Z$195),2,IF(Data!Z158&lt;=QUARTILE(Data!Z$4:Z$195,3),3,4)))</f>
        <v>3</v>
      </c>
      <c r="AA158" s="25">
        <f>IF(Data!AA158&lt;=QUARTILE(Data!AA$4:AA$195,1),1,IF(Data!AA158&lt;=MEDIAN(Data!AA$4:AA$195),2,IF(Data!AA158&lt;=QUARTILE(Data!AA$4:AA$195,3),3,4)))</f>
        <v>1</v>
      </c>
      <c r="AB158" s="22">
        <f>IF(Data!AB158&lt;=QUARTILE(Data!AB$4:AB$195,1),1,IF(Data!AB158&lt;=MEDIAN(Data!AB$4:AB$195),2,IF(Data!AB158&lt;=QUARTILE(Data!AB$4:AB$195,3),3,4)))</f>
        <v>1</v>
      </c>
      <c r="AC158" s="25">
        <f>IF(Data!AC158&lt;=QUARTILE(Data!AC$4:AC$195,1),1,IF(Data!AC158&lt;=MEDIAN(Data!AC$4:AC$195),2,IF(Data!AC158&lt;=QUARTILE(Data!AC$4:AC$195,3),3,4)))</f>
        <v>4</v>
      </c>
      <c r="AD158" s="22">
        <f>IF(Data!AD158&lt;=QUARTILE(Data!AD$4:AD$195,1),1,IF(Data!AD158&lt;=MEDIAN(Data!AD$4:AD$195),2,IF(Data!AD158&lt;=QUARTILE(Data!AD$4:AD$195,3),3,4)))</f>
        <v>3</v>
      </c>
      <c r="AE158" s="28">
        <f>IF(Data!AE158&lt;=QUARTILE(Data!AE$4:AE$195,1),1,IF(Data!AE158&lt;=MEDIAN(Data!AE$4:AE$195),2,IF(Data!AE158&lt;=QUARTILE(Data!AE$4:AE$195,3),3,4)))</f>
        <v>2</v>
      </c>
      <c r="AF158" s="28">
        <f>IF(Data!AF158&lt;=QUARTILE(Data!AF$4:AF$195,1),1,IF(Data!AF158&lt;=MEDIAN(Data!AF$4:AF$195),2,IF(Data!AF158&lt;=QUARTILE(Data!AF$4:AF$195,3),3,4)))</f>
        <v>2</v>
      </c>
      <c r="AG158" s="28">
        <f>IF(Data!AG158&lt;=QUARTILE(Data!AG$4:AG$195,1),1,IF(Data!AG158&lt;=MEDIAN(Data!AG$4:AG$195),2,IF(Data!AG158&lt;=QUARTILE(Data!AG$4:AG$195,3),3,4)))</f>
        <v>3</v>
      </c>
      <c r="AH158" s="22">
        <f>IF(Data!AH158&lt;=QUARTILE(Data!AH$4:AH$195,1),1,IF(Data!AH158&lt;=MEDIAN(Data!AH$4:AH$195),2,IF(Data!AH158&lt;=QUARTILE(Data!AH$4:AH$195,3),3,4)))</f>
        <v>4</v>
      </c>
      <c r="AI158" s="25">
        <f>IF(Data!AI158&lt;=QUARTILE(Data!AI$4:AI$195,1),1,IF(Data!AI158&lt;=MEDIAN(Data!AI$4:AI$195),2,IF(Data!AI158&lt;=QUARTILE(Data!AI$4:AI$195,3),3,4)))</f>
        <v>4</v>
      </c>
      <c r="AJ158" s="22">
        <f>IF(Data!AJ158&lt;=QUARTILE(Data!AJ$4:AJ$195,1),1,IF(Data!AJ158&lt;=MEDIAN(Data!AJ$4:AJ$195),2,IF(Data!AJ158&lt;=QUARTILE(Data!AJ$4:AJ$195,3),3,4)))</f>
        <v>4</v>
      </c>
      <c r="AK158" s="25">
        <f>IF(Data!AK158&lt;=QUARTILE(Data!AK$4:AK$195,1),1,IF(Data!AK158&lt;=MEDIAN(Data!AK$4:AK$195),2,IF(Data!AK158&lt;=QUARTILE(Data!AK$4:AK$195,3),3,4)))</f>
        <v>4</v>
      </c>
      <c r="AL158" s="28">
        <f>IF(Data!AL158&lt;=QUARTILE(Data!AL$4:AL$195,1),1,IF(Data!AL158&lt;=MEDIAN(Data!AL$4:AL$195),2,IF(Data!AL158&lt;=QUARTILE(Data!AL$4:AL$195,3),3,4)))</f>
        <v>4</v>
      </c>
      <c r="AM158" s="28">
        <f>IF(Data!AM158&lt;=QUARTILE(Data!AM$4:AM$195,1),1,IF(Data!AM158&lt;=MEDIAN(Data!AM$4:AM$195),2,IF(Data!AM158&lt;=QUARTILE(Data!AM$4:AM$195,3),3,4)))</f>
        <v>4</v>
      </c>
      <c r="AN158" s="22">
        <f>IF(Data!AN158&lt;=QUARTILE(Data!AN$4:AN$195,1),1,IF(Data!AN158&lt;=MEDIAN(Data!AN$4:AN$195),2,IF(Data!AN158&lt;=QUARTILE(Data!AN$4:AN$195,3),3,4)))</f>
        <v>4</v>
      </c>
      <c r="AO158" s="28">
        <f>IF(Data!AO158&lt;=QUARTILE(Data!AO$4:AO$195,1),1,IF(Data!AO158&lt;=MEDIAN(Data!AO$4:AO$195),2,IF(Data!AO158&lt;=QUARTILE(Data!AO$4:AO$195,3),3,4)))</f>
        <v>4</v>
      </c>
      <c r="AP158" s="28">
        <f>IF(Data!AP158&lt;=QUARTILE(Data!AP$4:AP$195,1),1,IF(Data!AP158&lt;=MEDIAN(Data!AP$4:AP$195),2,IF(Data!AP158&lt;=QUARTILE(Data!AP$4:AP$195,3),3,4)))</f>
        <v>4</v>
      </c>
      <c r="AQ158" s="28">
        <f>IF(Data!AQ158&lt;=QUARTILE(Data!AQ$4:AQ$195,1),1,IF(Data!AQ158&lt;=MEDIAN(Data!AQ$4:AQ$195),2,IF(Data!AQ158&lt;=QUARTILE(Data!AQ$4:AQ$195,3),3,4)))</f>
        <v>4</v>
      </c>
      <c r="AR158" s="28">
        <f>IF(Data!AR158&lt;=QUARTILE(Data!AR$4:AR$195,1),1,IF(Data!AR158&lt;=MEDIAN(Data!AR$4:AR$195),2,IF(Data!AR158&lt;=QUARTILE(Data!AR$4:AR$195,3),3,4)))</f>
        <v>4</v>
      </c>
      <c r="AS158" s="28">
        <f>IF(Data!AS158&lt;=QUARTILE(Data!AS$4:AS$195,1),1,IF(Data!AS158&lt;=MEDIAN(Data!AS$4:AS$195),2,IF(Data!AS158&lt;=QUARTILE(Data!AS$4:AS$195,3),3,4)))</f>
        <v>4</v>
      </c>
      <c r="AT158" s="28">
        <f>IF(Data!AT158&lt;=QUARTILE(Data!AT$4:AT$195,1),1,IF(Data!AT158&lt;=MEDIAN(Data!AT$4:AT$195),2,IF(Data!AT158&lt;=QUARTILE(Data!AT$4:AT$195,3),3,4)))</f>
        <v>1</v>
      </c>
      <c r="AU158" s="22">
        <f>IF(Data!AU158&lt;=QUARTILE(Data!AU$4:AU$195,1),1,IF(Data!AU158&lt;=MEDIAN(Data!AU$4:AU$195),2,IF(Data!AU158&lt;=QUARTILE(Data!AU$4:AU$195,3),3,4)))</f>
        <v>2</v>
      </c>
      <c r="AV158" s="25">
        <f>IF(Data!AV158&lt;=QUARTILE(Data!AV$4:AV$195,1),1,IF(Data!AV158&lt;=MEDIAN(Data!AV$4:AV$195),2,IF(Data!AV158&lt;=QUARTILE(Data!AV$4:AV$195,3),3,4)))</f>
        <v>4</v>
      </c>
      <c r="AW158" s="28">
        <f>IF(Data!AW158&lt;=QUARTILE(Data!AW$4:AW$195,1),1,IF(Data!AW158&lt;=MEDIAN(Data!AW$4:AW$195),2,IF(Data!AW158&lt;=QUARTILE(Data!AW$4:AW$195,3),3,4)))</f>
        <v>2</v>
      </c>
      <c r="AX158" s="28">
        <f>IF(Data!AX158&lt;=QUARTILE(Data!AX$4:AX$195,1),1,IF(Data!AX158&lt;=MEDIAN(Data!AX$4:AX$195),2,IF(Data!AX158&lt;=QUARTILE(Data!AX$4:AX$195,3),3,4)))</f>
        <v>4</v>
      </c>
      <c r="AY158" s="22">
        <f>IF(Data!AY158&lt;=QUARTILE(Data!AY$4:AY$195,1),1,IF(Data!AY158&lt;=MEDIAN(Data!AY$4:AY$195),2,IF(Data!AY158&lt;=QUARTILE(Data!AY$4:AY$195,3),3,4)))</f>
        <v>4</v>
      </c>
      <c r="AZ158" s="25">
        <f>IF(Data!AZ158&lt;=QUARTILE(Data!AZ$4:AZ$195,1),1,IF(Data!AZ158&lt;=MEDIAN(Data!AZ$4:AZ$195),2,IF(Data!AZ158&lt;=QUARTILE(Data!AZ$4:AZ$195,3),3,4)))</f>
        <v>2</v>
      </c>
      <c r="BA158" s="22">
        <f>IF(Data!BA158&lt;=QUARTILE(Data!BA$4:BA$195,1),1,IF(Data!BA158&lt;=MEDIAN(Data!BA$4:BA$195),2,IF(Data!BA158&lt;=QUARTILE(Data!BA$4:BA$195,3),3,4)))</f>
        <v>2</v>
      </c>
    </row>
    <row r="159" spans="1:53" x14ac:dyDescent="0.25">
      <c r="A159" s="4" t="s">
        <v>33</v>
      </c>
      <c r="B159" s="40">
        <v>2005</v>
      </c>
      <c r="C159" s="25">
        <v>13</v>
      </c>
      <c r="D159" s="28">
        <v>3</v>
      </c>
      <c r="E159" s="77" t="s">
        <v>97</v>
      </c>
      <c r="F159" s="28">
        <v>9.1</v>
      </c>
      <c r="G159" s="28">
        <v>5.8</v>
      </c>
      <c r="H159" s="22">
        <v>3.4</v>
      </c>
      <c r="I159" s="25">
        <f>IF(Data!I159&lt;=QUARTILE(Data!I$4:I$195,1),1,IF(Data!I159&lt;=MEDIAN(Data!I$4:I$195),2,IF(Data!I159&lt;=QUARTILE(Data!I$4:I$195,3),3,4)))</f>
        <v>4</v>
      </c>
      <c r="J159" s="28">
        <f>IF(Data!J159&lt;=QUARTILE(Data!J$4:J$195,1),1,IF(Data!J159&lt;=MEDIAN(Data!J$4:J$195),2,IF(Data!J159&lt;=QUARTILE(Data!J$4:J$195,3),3,4)))</f>
        <v>4</v>
      </c>
      <c r="K159" s="28">
        <f>IF(Data!K159&lt;=QUARTILE(Data!K$4:K$195,1),1,IF(Data!K159&lt;=MEDIAN(Data!K$4:K$195),2,IF(Data!K159&lt;=QUARTILE(Data!K$4:K$195,3),3,4)))</f>
        <v>3</v>
      </c>
      <c r="L159" s="22">
        <f>IF(Data!L159&lt;=QUARTILE(Data!L$4:L$195,1),1,IF(Data!L159&lt;=MEDIAN(Data!L$4:L$195),2,IF(Data!L159&lt;=QUARTILE(Data!L$4:L$195,3),3,4)))</f>
        <v>4</v>
      </c>
      <c r="M159" s="28">
        <f>IF(Data!M159&lt;=QUARTILE(Data!M$4:M$195,1),1,IF(Data!M159&lt;=MEDIAN(Data!M$4:M$195),2,IF(Data!M159&lt;=QUARTILE(Data!M$4:M$195,3),3,4)))</f>
        <v>2</v>
      </c>
      <c r="N159" s="28">
        <f>IF(Data!N159&lt;=QUARTILE(Data!N$4:N$195,1),1,IF(Data!N159&lt;=MEDIAN(Data!N$4:N$195),2,IF(Data!N159&lt;=QUARTILE(Data!N$4:N$195,3),3,4)))</f>
        <v>1</v>
      </c>
      <c r="O159" s="28">
        <f>IF(Data!O159&lt;=QUARTILE(Data!O$4:O$195,1),1,IF(Data!O159&lt;=MEDIAN(Data!O$4:O$195),2,IF(Data!O159&lt;=QUARTILE(Data!O$4:O$195,3),3,4)))</f>
        <v>3</v>
      </c>
      <c r="P159" s="28">
        <f>IF(Data!P159&lt;=QUARTILE(Data!P$4:P$195,1),1,IF(Data!P159&lt;=MEDIAN(Data!P$4:P$195),2,IF(Data!P159&lt;=QUARTILE(Data!P$4:P$195,3),3,4)))</f>
        <v>3</v>
      </c>
      <c r="Q159" s="28">
        <f>IF(Data!Q159&lt;=QUARTILE(Data!Q$4:Q$195,1),1,IF(Data!Q159&lt;=MEDIAN(Data!Q$4:Q$195),2,IF(Data!Q159&lt;=QUARTILE(Data!Q$4:Q$195,3),3,4)))</f>
        <v>3</v>
      </c>
      <c r="R159" s="28">
        <f>IF(Data!R159&lt;=QUARTILE(Data!R$4:R$195,1),1,IF(Data!R159&lt;=MEDIAN(Data!R$4:R$195),2,IF(Data!R159&lt;=QUARTILE(Data!R$4:R$195,3),3,4)))</f>
        <v>4</v>
      </c>
      <c r="S159" s="28">
        <f>IF(Data!S159&lt;=QUARTILE(Data!S$4:S$195,1),1,IF(Data!S159&lt;=MEDIAN(Data!S$4:S$195),2,IF(Data!S159&lt;=QUARTILE(Data!S$4:S$195,3),3,4)))</f>
        <v>1</v>
      </c>
      <c r="T159" s="22">
        <f>IF(Data!T159&lt;=QUARTILE(Data!T$4:T$195,1),1,IF(Data!T159&lt;=MEDIAN(Data!T$4:T$195),2,IF(Data!T159&lt;=QUARTILE(Data!T$4:T$195,3),3,4)))</f>
        <v>2</v>
      </c>
      <c r="U159" s="25">
        <f>IF(Data!U159&lt;=QUARTILE(Data!U$4:U$195,1),1,IF(Data!U159&lt;=MEDIAN(Data!U$4:U$195),2,IF(Data!U159&lt;=QUARTILE(Data!U$4:U$195,3),3,4)))</f>
        <v>4</v>
      </c>
      <c r="V159" s="28">
        <f>IF(Data!V159&lt;=QUARTILE(Data!V$4:V$195,1),1,IF(Data!V159&lt;=MEDIAN(Data!V$4:V$195),2,IF(Data!V159&lt;=QUARTILE(Data!V$4:V$195,3),3,4)))</f>
        <v>4</v>
      </c>
      <c r="W159" s="28">
        <f>IF(Data!W159&lt;=QUARTILE(Data!W$4:W$195,1),1,IF(Data!W159&lt;=MEDIAN(Data!W$4:W$195),2,IF(Data!W159&lt;=QUARTILE(Data!W$4:W$195,3),3,4)))</f>
        <v>4</v>
      </c>
      <c r="X159" s="22">
        <f>IF(Data!X159&lt;=QUARTILE(Data!X$4:X$195,1),1,IF(Data!X159&lt;=MEDIAN(Data!X$4:X$195),2,IF(Data!X159&lt;=QUARTILE(Data!X$4:X$195,3),3,4)))</f>
        <v>4</v>
      </c>
      <c r="Y159" s="30">
        <f>IF(Data!Y159&lt;=QUARTILE(Data!Y$4:Y$195,1),1,IF(Data!Y159&lt;=MEDIAN(Data!Y$4:Y$195),2,IF(Data!Y159&lt;=QUARTILE(Data!Y$4:Y$195,3),3,4)))</f>
        <v>1</v>
      </c>
      <c r="Z159" s="30">
        <f>IF(Data!Z159&lt;=QUARTILE(Data!Z$4:Z$195,1),1,IF(Data!Z159&lt;=MEDIAN(Data!Z$4:Z$195),2,IF(Data!Z159&lt;=QUARTILE(Data!Z$4:Z$195,3),3,4)))</f>
        <v>1</v>
      </c>
      <c r="AA159" s="25">
        <f>IF(Data!AA159&lt;=QUARTILE(Data!AA$4:AA$195,1),1,IF(Data!AA159&lt;=MEDIAN(Data!AA$4:AA$195),2,IF(Data!AA159&lt;=QUARTILE(Data!AA$4:AA$195,3),3,4)))</f>
        <v>2</v>
      </c>
      <c r="AB159" s="22">
        <f>IF(Data!AB159&lt;=QUARTILE(Data!AB$4:AB$195,1),1,IF(Data!AB159&lt;=MEDIAN(Data!AB$4:AB$195),2,IF(Data!AB159&lt;=QUARTILE(Data!AB$4:AB$195,3),3,4)))</f>
        <v>1</v>
      </c>
      <c r="AC159" s="25">
        <f>IF(Data!AC159&lt;=QUARTILE(Data!AC$4:AC$195,1),1,IF(Data!AC159&lt;=MEDIAN(Data!AC$4:AC$195),2,IF(Data!AC159&lt;=QUARTILE(Data!AC$4:AC$195,3),3,4)))</f>
        <v>2</v>
      </c>
      <c r="AD159" s="22">
        <f>IF(Data!AD159&lt;=QUARTILE(Data!AD$4:AD$195,1),1,IF(Data!AD159&lt;=MEDIAN(Data!AD$4:AD$195),2,IF(Data!AD159&lt;=QUARTILE(Data!AD$4:AD$195,3),3,4)))</f>
        <v>2</v>
      </c>
      <c r="AE159" s="28">
        <f>IF(Data!AE159&lt;=QUARTILE(Data!AE$4:AE$195,1),1,IF(Data!AE159&lt;=MEDIAN(Data!AE$4:AE$195),2,IF(Data!AE159&lt;=QUARTILE(Data!AE$4:AE$195,3),3,4)))</f>
        <v>1</v>
      </c>
      <c r="AF159" s="28">
        <f>IF(Data!AF159&lt;=QUARTILE(Data!AF$4:AF$195,1),1,IF(Data!AF159&lt;=MEDIAN(Data!AF$4:AF$195),2,IF(Data!AF159&lt;=QUARTILE(Data!AF$4:AF$195,3),3,4)))</f>
        <v>1</v>
      </c>
      <c r="AG159" s="28">
        <f>IF(Data!AG159&lt;=QUARTILE(Data!AG$4:AG$195,1),1,IF(Data!AG159&lt;=MEDIAN(Data!AG$4:AG$195),2,IF(Data!AG159&lt;=QUARTILE(Data!AG$4:AG$195,3),3,4)))</f>
        <v>4</v>
      </c>
      <c r="AH159" s="22">
        <f>IF(Data!AH159&lt;=QUARTILE(Data!AH$4:AH$195,1),1,IF(Data!AH159&lt;=MEDIAN(Data!AH$4:AH$195),2,IF(Data!AH159&lt;=QUARTILE(Data!AH$4:AH$195,3),3,4)))</f>
        <v>3</v>
      </c>
      <c r="AI159" s="25">
        <f>IF(Data!AI159&lt;=QUARTILE(Data!AI$4:AI$195,1),1,IF(Data!AI159&lt;=MEDIAN(Data!AI$4:AI$195),2,IF(Data!AI159&lt;=QUARTILE(Data!AI$4:AI$195,3),3,4)))</f>
        <v>3</v>
      </c>
      <c r="AJ159" s="22">
        <f>IF(Data!AJ159&lt;=QUARTILE(Data!AJ$4:AJ$195,1),1,IF(Data!AJ159&lt;=MEDIAN(Data!AJ$4:AJ$195),2,IF(Data!AJ159&lt;=QUARTILE(Data!AJ$4:AJ$195,3),3,4)))</f>
        <v>3</v>
      </c>
      <c r="AK159" s="25">
        <f>IF(Data!AK159&lt;=QUARTILE(Data!AK$4:AK$195,1),1,IF(Data!AK159&lt;=MEDIAN(Data!AK$4:AK$195),2,IF(Data!AK159&lt;=QUARTILE(Data!AK$4:AK$195,3),3,4)))</f>
        <v>1</v>
      </c>
      <c r="AL159" s="28">
        <f>IF(Data!AL159&lt;=QUARTILE(Data!AL$4:AL$195,1),1,IF(Data!AL159&lt;=MEDIAN(Data!AL$4:AL$195),2,IF(Data!AL159&lt;=QUARTILE(Data!AL$4:AL$195,3),3,4)))</f>
        <v>2</v>
      </c>
      <c r="AM159" s="28">
        <f>IF(Data!AM159&lt;=QUARTILE(Data!AM$4:AM$195,1),1,IF(Data!AM159&lt;=MEDIAN(Data!AM$4:AM$195),2,IF(Data!AM159&lt;=QUARTILE(Data!AM$4:AM$195,3),3,4)))</f>
        <v>4</v>
      </c>
      <c r="AN159" s="22">
        <f>IF(Data!AN159&lt;=QUARTILE(Data!AN$4:AN$195,1),1,IF(Data!AN159&lt;=MEDIAN(Data!AN$4:AN$195),2,IF(Data!AN159&lt;=QUARTILE(Data!AN$4:AN$195,3),3,4)))</f>
        <v>2</v>
      </c>
      <c r="AO159" s="28">
        <f>IF(Data!AO159&lt;=QUARTILE(Data!AO$4:AO$195,1),1,IF(Data!AO159&lt;=MEDIAN(Data!AO$4:AO$195),2,IF(Data!AO159&lt;=QUARTILE(Data!AO$4:AO$195,3),3,4)))</f>
        <v>3</v>
      </c>
      <c r="AP159" s="28">
        <f>IF(Data!AP159&lt;=QUARTILE(Data!AP$4:AP$195,1),1,IF(Data!AP159&lt;=MEDIAN(Data!AP$4:AP$195),2,IF(Data!AP159&lt;=QUARTILE(Data!AP$4:AP$195,3),3,4)))</f>
        <v>4</v>
      </c>
      <c r="AQ159" s="28">
        <f>IF(Data!AQ159&lt;=QUARTILE(Data!AQ$4:AQ$195,1),1,IF(Data!AQ159&lt;=MEDIAN(Data!AQ$4:AQ$195),2,IF(Data!AQ159&lt;=QUARTILE(Data!AQ$4:AQ$195,3),3,4)))</f>
        <v>3</v>
      </c>
      <c r="AR159" s="28">
        <f>IF(Data!AR159&lt;=QUARTILE(Data!AR$4:AR$195,1),1,IF(Data!AR159&lt;=MEDIAN(Data!AR$4:AR$195),2,IF(Data!AR159&lt;=QUARTILE(Data!AR$4:AR$195,3),3,4)))</f>
        <v>1</v>
      </c>
      <c r="AS159" s="28">
        <f>IF(Data!AS159&lt;=QUARTILE(Data!AS$4:AS$195,1),1,IF(Data!AS159&lt;=MEDIAN(Data!AS$4:AS$195),2,IF(Data!AS159&lt;=QUARTILE(Data!AS$4:AS$195,3),3,4)))</f>
        <v>4</v>
      </c>
      <c r="AT159" s="28">
        <f>IF(Data!AT159&lt;=QUARTILE(Data!AT$4:AT$195,1),1,IF(Data!AT159&lt;=MEDIAN(Data!AT$4:AT$195),2,IF(Data!AT159&lt;=QUARTILE(Data!AT$4:AT$195,3),3,4)))</f>
        <v>4</v>
      </c>
      <c r="AU159" s="22">
        <f>IF(Data!AU159&lt;=QUARTILE(Data!AU$4:AU$195,1),1,IF(Data!AU159&lt;=MEDIAN(Data!AU$4:AU$195),2,IF(Data!AU159&lt;=QUARTILE(Data!AU$4:AU$195,3),3,4)))</f>
        <v>4</v>
      </c>
      <c r="AV159" s="25">
        <f>IF(Data!AV159&lt;=QUARTILE(Data!AV$4:AV$195,1),1,IF(Data!AV159&lt;=MEDIAN(Data!AV$4:AV$195),2,IF(Data!AV159&lt;=QUARTILE(Data!AV$4:AV$195,3),3,4)))</f>
        <v>2</v>
      </c>
      <c r="AW159" s="28">
        <f>IF(Data!AW159&lt;=QUARTILE(Data!AW$4:AW$195,1),1,IF(Data!AW159&lt;=MEDIAN(Data!AW$4:AW$195),2,IF(Data!AW159&lt;=QUARTILE(Data!AW$4:AW$195,3),3,4)))</f>
        <v>1</v>
      </c>
      <c r="AX159" s="28">
        <f>IF(Data!AX159&lt;=QUARTILE(Data!AX$4:AX$195,1),1,IF(Data!AX159&lt;=MEDIAN(Data!AX$4:AX$195),2,IF(Data!AX159&lt;=QUARTILE(Data!AX$4:AX$195,3),3,4)))</f>
        <v>1</v>
      </c>
      <c r="AY159" s="22">
        <f>IF(Data!AY159&lt;=QUARTILE(Data!AY$4:AY$195,1),1,IF(Data!AY159&lt;=MEDIAN(Data!AY$4:AY$195),2,IF(Data!AY159&lt;=QUARTILE(Data!AY$4:AY$195,3),3,4)))</f>
        <v>1</v>
      </c>
      <c r="AZ159" s="25">
        <f>IF(Data!AZ159&lt;=QUARTILE(Data!AZ$4:AZ$195,1),1,IF(Data!AZ159&lt;=MEDIAN(Data!AZ$4:AZ$195),2,IF(Data!AZ159&lt;=QUARTILE(Data!AZ$4:AZ$195,3),3,4)))</f>
        <v>2</v>
      </c>
      <c r="BA159" s="22">
        <f>IF(Data!BA159&lt;=QUARTILE(Data!BA$4:BA$195,1),1,IF(Data!BA159&lt;=MEDIAN(Data!BA$4:BA$195),2,IF(Data!BA159&lt;=QUARTILE(Data!BA$4:BA$195,3),3,4)))</f>
        <v>2</v>
      </c>
    </row>
    <row r="160" spans="1:53" x14ac:dyDescent="0.25">
      <c r="A160" s="4" t="s">
        <v>34</v>
      </c>
      <c r="B160" s="40">
        <v>2005</v>
      </c>
      <c r="C160" s="25">
        <v>6</v>
      </c>
      <c r="D160" s="28">
        <v>10</v>
      </c>
      <c r="E160" s="77" t="s">
        <v>96</v>
      </c>
      <c r="F160" s="28">
        <v>-5.0999999999999996</v>
      </c>
      <c r="G160" s="28">
        <v>1.3</v>
      </c>
      <c r="H160" s="22">
        <v>-6.4</v>
      </c>
      <c r="I160" s="25">
        <f>IF(Data!I160&lt;=QUARTILE(Data!I$4:I$195,1),1,IF(Data!I160&lt;=MEDIAN(Data!I$4:I$195),2,IF(Data!I160&lt;=QUARTILE(Data!I$4:I$195,3),3,4)))</f>
        <v>3</v>
      </c>
      <c r="J160" s="28">
        <f>IF(Data!J160&lt;=QUARTILE(Data!J$4:J$195,1),1,IF(Data!J160&lt;=MEDIAN(Data!J$4:J$195),2,IF(Data!J160&lt;=QUARTILE(Data!J$4:J$195,3),3,4)))</f>
        <v>3</v>
      </c>
      <c r="K160" s="28">
        <f>IF(Data!K160&lt;=QUARTILE(Data!K$4:K$195,1),1,IF(Data!K160&lt;=MEDIAN(Data!K$4:K$195),2,IF(Data!K160&lt;=QUARTILE(Data!K$4:K$195,3),3,4)))</f>
        <v>3</v>
      </c>
      <c r="L160" s="22">
        <f>IF(Data!L160&lt;=QUARTILE(Data!L$4:L$195,1),1,IF(Data!L160&lt;=MEDIAN(Data!L$4:L$195),2,IF(Data!L160&lt;=QUARTILE(Data!L$4:L$195,3),3,4)))</f>
        <v>3</v>
      </c>
      <c r="M160" s="28">
        <f>IF(Data!M160&lt;=QUARTILE(Data!M$4:M$195,1),1,IF(Data!M160&lt;=MEDIAN(Data!M$4:M$195),2,IF(Data!M160&lt;=QUARTILE(Data!M$4:M$195,3),3,4)))</f>
        <v>4</v>
      </c>
      <c r="N160" s="28">
        <f>IF(Data!N160&lt;=QUARTILE(Data!N$4:N$195,1),1,IF(Data!N160&lt;=MEDIAN(Data!N$4:N$195),2,IF(Data!N160&lt;=QUARTILE(Data!N$4:N$195,3),3,4)))</f>
        <v>4</v>
      </c>
      <c r="O160" s="28">
        <f>IF(Data!O160&lt;=QUARTILE(Data!O$4:O$195,1),1,IF(Data!O160&lt;=MEDIAN(Data!O$4:O$195),2,IF(Data!O160&lt;=QUARTILE(Data!O$4:O$195,3),3,4)))</f>
        <v>4</v>
      </c>
      <c r="P160" s="28">
        <f>IF(Data!P160&lt;=QUARTILE(Data!P$4:P$195,1),1,IF(Data!P160&lt;=MEDIAN(Data!P$4:P$195),2,IF(Data!P160&lt;=QUARTILE(Data!P$4:P$195,3),3,4)))</f>
        <v>3</v>
      </c>
      <c r="Q160" s="28">
        <f>IF(Data!Q160&lt;=QUARTILE(Data!Q$4:Q$195,1),1,IF(Data!Q160&lt;=MEDIAN(Data!Q$4:Q$195),2,IF(Data!Q160&lt;=QUARTILE(Data!Q$4:Q$195,3),3,4)))</f>
        <v>4</v>
      </c>
      <c r="R160" s="28">
        <f>IF(Data!R160&lt;=QUARTILE(Data!R$4:R$195,1),1,IF(Data!R160&lt;=MEDIAN(Data!R$4:R$195),2,IF(Data!R160&lt;=QUARTILE(Data!R$4:R$195,3),3,4)))</f>
        <v>3</v>
      </c>
      <c r="S160" s="28">
        <f>IF(Data!S160&lt;=QUARTILE(Data!S$4:S$195,1),1,IF(Data!S160&lt;=MEDIAN(Data!S$4:S$195),2,IF(Data!S160&lt;=QUARTILE(Data!S$4:S$195,3),3,4)))</f>
        <v>4</v>
      </c>
      <c r="T160" s="22">
        <f>IF(Data!T160&lt;=QUARTILE(Data!T$4:T$195,1),1,IF(Data!T160&lt;=MEDIAN(Data!T$4:T$195),2,IF(Data!T160&lt;=QUARTILE(Data!T$4:T$195,3),3,4)))</f>
        <v>4</v>
      </c>
      <c r="U160" s="25">
        <f>IF(Data!U160&lt;=QUARTILE(Data!U$4:U$195,1),1,IF(Data!U160&lt;=MEDIAN(Data!U$4:U$195),2,IF(Data!U160&lt;=QUARTILE(Data!U$4:U$195,3),3,4)))</f>
        <v>1</v>
      </c>
      <c r="V160" s="28">
        <f>IF(Data!V160&lt;=QUARTILE(Data!V$4:V$195,1),1,IF(Data!V160&lt;=MEDIAN(Data!V$4:V$195),2,IF(Data!V160&lt;=QUARTILE(Data!V$4:V$195,3),3,4)))</f>
        <v>1</v>
      </c>
      <c r="W160" s="28">
        <f>IF(Data!W160&lt;=QUARTILE(Data!W$4:W$195,1),1,IF(Data!W160&lt;=MEDIAN(Data!W$4:W$195),2,IF(Data!W160&lt;=QUARTILE(Data!W$4:W$195,3),3,4)))</f>
        <v>2</v>
      </c>
      <c r="X160" s="22">
        <f>IF(Data!X160&lt;=QUARTILE(Data!X$4:X$195,1),1,IF(Data!X160&lt;=MEDIAN(Data!X$4:X$195),2,IF(Data!X160&lt;=QUARTILE(Data!X$4:X$195,3),3,4)))</f>
        <v>1</v>
      </c>
      <c r="Y160" s="30">
        <f>IF(Data!Y160&lt;=QUARTILE(Data!Y$4:Y$195,1),1,IF(Data!Y160&lt;=MEDIAN(Data!Y$4:Y$195),2,IF(Data!Y160&lt;=QUARTILE(Data!Y$4:Y$195,3),3,4)))</f>
        <v>4</v>
      </c>
      <c r="Z160" s="30">
        <f>IF(Data!Z160&lt;=QUARTILE(Data!Z$4:Z$195,1),1,IF(Data!Z160&lt;=MEDIAN(Data!Z$4:Z$195),2,IF(Data!Z160&lt;=QUARTILE(Data!Z$4:Z$195,3),3,4)))</f>
        <v>3</v>
      </c>
      <c r="AA160" s="25">
        <f>IF(Data!AA160&lt;=QUARTILE(Data!AA$4:AA$195,1),1,IF(Data!AA160&lt;=MEDIAN(Data!AA$4:AA$195),2,IF(Data!AA160&lt;=QUARTILE(Data!AA$4:AA$195,3),3,4)))</f>
        <v>1</v>
      </c>
      <c r="AB160" s="22">
        <f>IF(Data!AB160&lt;=QUARTILE(Data!AB$4:AB$195,1),1,IF(Data!AB160&lt;=MEDIAN(Data!AB$4:AB$195),2,IF(Data!AB160&lt;=QUARTILE(Data!AB$4:AB$195,3),3,4)))</f>
        <v>1</v>
      </c>
      <c r="AC160" s="25">
        <f>IF(Data!AC160&lt;=QUARTILE(Data!AC$4:AC$195,1),1,IF(Data!AC160&lt;=MEDIAN(Data!AC$4:AC$195),2,IF(Data!AC160&lt;=QUARTILE(Data!AC$4:AC$195,3),3,4)))</f>
        <v>4</v>
      </c>
      <c r="AD160" s="22">
        <f>IF(Data!AD160&lt;=QUARTILE(Data!AD$4:AD$195,1),1,IF(Data!AD160&lt;=MEDIAN(Data!AD$4:AD$195),2,IF(Data!AD160&lt;=QUARTILE(Data!AD$4:AD$195,3),3,4)))</f>
        <v>3</v>
      </c>
      <c r="AE160" s="28">
        <f>IF(Data!AE160&lt;=QUARTILE(Data!AE$4:AE$195,1),1,IF(Data!AE160&lt;=MEDIAN(Data!AE$4:AE$195),2,IF(Data!AE160&lt;=QUARTILE(Data!AE$4:AE$195,3),3,4)))</f>
        <v>1</v>
      </c>
      <c r="AF160" s="28">
        <f>IF(Data!AF160&lt;=QUARTILE(Data!AF$4:AF$195,1),1,IF(Data!AF160&lt;=MEDIAN(Data!AF$4:AF$195),2,IF(Data!AF160&lt;=QUARTILE(Data!AF$4:AF$195,3),3,4)))</f>
        <v>2</v>
      </c>
      <c r="AG160" s="28">
        <f>IF(Data!AG160&lt;=QUARTILE(Data!AG$4:AG$195,1),1,IF(Data!AG160&lt;=MEDIAN(Data!AG$4:AG$195),2,IF(Data!AG160&lt;=QUARTILE(Data!AG$4:AG$195,3),3,4)))</f>
        <v>4</v>
      </c>
      <c r="AH160" s="22">
        <f>IF(Data!AH160&lt;=QUARTILE(Data!AH$4:AH$195,1),1,IF(Data!AH160&lt;=MEDIAN(Data!AH$4:AH$195),2,IF(Data!AH160&lt;=QUARTILE(Data!AH$4:AH$195,3),3,4)))</f>
        <v>4</v>
      </c>
      <c r="AI160" s="25">
        <f>IF(Data!AI160&lt;=QUARTILE(Data!AI$4:AI$195,1),1,IF(Data!AI160&lt;=MEDIAN(Data!AI$4:AI$195),2,IF(Data!AI160&lt;=QUARTILE(Data!AI$4:AI$195,3),3,4)))</f>
        <v>2</v>
      </c>
      <c r="AJ160" s="22">
        <f>IF(Data!AJ160&lt;=QUARTILE(Data!AJ$4:AJ$195,1),1,IF(Data!AJ160&lt;=MEDIAN(Data!AJ$4:AJ$195),2,IF(Data!AJ160&lt;=QUARTILE(Data!AJ$4:AJ$195,3),3,4)))</f>
        <v>2</v>
      </c>
      <c r="AK160" s="25">
        <f>IF(Data!AK160&lt;=QUARTILE(Data!AK$4:AK$195,1),1,IF(Data!AK160&lt;=MEDIAN(Data!AK$4:AK$195),2,IF(Data!AK160&lt;=QUARTILE(Data!AK$4:AK$195,3),3,4)))</f>
        <v>4</v>
      </c>
      <c r="AL160" s="28">
        <f>IF(Data!AL160&lt;=QUARTILE(Data!AL$4:AL$195,1),1,IF(Data!AL160&lt;=MEDIAN(Data!AL$4:AL$195),2,IF(Data!AL160&lt;=QUARTILE(Data!AL$4:AL$195,3),3,4)))</f>
        <v>4</v>
      </c>
      <c r="AM160" s="28">
        <f>IF(Data!AM160&lt;=QUARTILE(Data!AM$4:AM$195,1),1,IF(Data!AM160&lt;=MEDIAN(Data!AM$4:AM$195),2,IF(Data!AM160&lt;=QUARTILE(Data!AM$4:AM$195,3),3,4)))</f>
        <v>3</v>
      </c>
      <c r="AN160" s="22">
        <f>IF(Data!AN160&lt;=QUARTILE(Data!AN$4:AN$195,1),1,IF(Data!AN160&lt;=MEDIAN(Data!AN$4:AN$195),2,IF(Data!AN160&lt;=QUARTILE(Data!AN$4:AN$195,3),3,4)))</f>
        <v>4</v>
      </c>
      <c r="AO160" s="28">
        <f>IF(Data!AO160&lt;=QUARTILE(Data!AO$4:AO$195,1),1,IF(Data!AO160&lt;=MEDIAN(Data!AO$4:AO$195),2,IF(Data!AO160&lt;=QUARTILE(Data!AO$4:AO$195,3),3,4)))</f>
        <v>2</v>
      </c>
      <c r="AP160" s="28">
        <f>IF(Data!AP160&lt;=QUARTILE(Data!AP$4:AP$195,1),1,IF(Data!AP160&lt;=MEDIAN(Data!AP$4:AP$195),2,IF(Data!AP160&lt;=QUARTILE(Data!AP$4:AP$195,3),3,4)))</f>
        <v>2</v>
      </c>
      <c r="AQ160" s="28">
        <f>IF(Data!AQ160&lt;=QUARTILE(Data!AQ$4:AQ$195,1),1,IF(Data!AQ160&lt;=MEDIAN(Data!AQ$4:AQ$195),2,IF(Data!AQ160&lt;=QUARTILE(Data!AQ$4:AQ$195,3),3,4)))</f>
        <v>3</v>
      </c>
      <c r="AR160" s="28">
        <f>IF(Data!AR160&lt;=QUARTILE(Data!AR$4:AR$195,1),1,IF(Data!AR160&lt;=MEDIAN(Data!AR$4:AR$195),2,IF(Data!AR160&lt;=QUARTILE(Data!AR$4:AR$195,3),3,4)))</f>
        <v>4</v>
      </c>
      <c r="AS160" s="28">
        <f>IF(Data!AS160&lt;=QUARTILE(Data!AS$4:AS$195,1),1,IF(Data!AS160&lt;=MEDIAN(Data!AS$4:AS$195),2,IF(Data!AS160&lt;=QUARTILE(Data!AS$4:AS$195,3),3,4)))</f>
        <v>3</v>
      </c>
      <c r="AT160" s="28">
        <f>IF(Data!AT160&lt;=QUARTILE(Data!AT$4:AT$195,1),1,IF(Data!AT160&lt;=MEDIAN(Data!AT$4:AT$195),2,IF(Data!AT160&lt;=QUARTILE(Data!AT$4:AT$195,3),3,4)))</f>
        <v>4</v>
      </c>
      <c r="AU160" s="22">
        <f>IF(Data!AU160&lt;=QUARTILE(Data!AU$4:AU$195,1),1,IF(Data!AU160&lt;=MEDIAN(Data!AU$4:AU$195),2,IF(Data!AU160&lt;=QUARTILE(Data!AU$4:AU$195,3),3,4)))</f>
        <v>2</v>
      </c>
      <c r="AV160" s="25">
        <f>IF(Data!AV160&lt;=QUARTILE(Data!AV$4:AV$195,1),1,IF(Data!AV160&lt;=MEDIAN(Data!AV$4:AV$195),2,IF(Data!AV160&lt;=QUARTILE(Data!AV$4:AV$195,3),3,4)))</f>
        <v>3</v>
      </c>
      <c r="AW160" s="28">
        <f>IF(Data!AW160&lt;=QUARTILE(Data!AW$4:AW$195,1),1,IF(Data!AW160&lt;=MEDIAN(Data!AW$4:AW$195),2,IF(Data!AW160&lt;=QUARTILE(Data!AW$4:AW$195,3),3,4)))</f>
        <v>4</v>
      </c>
      <c r="AX160" s="28">
        <f>IF(Data!AX160&lt;=QUARTILE(Data!AX$4:AX$195,1),1,IF(Data!AX160&lt;=MEDIAN(Data!AX$4:AX$195),2,IF(Data!AX160&lt;=QUARTILE(Data!AX$4:AX$195,3),3,4)))</f>
        <v>4</v>
      </c>
      <c r="AY160" s="22">
        <f>IF(Data!AY160&lt;=QUARTILE(Data!AY$4:AY$195,1),1,IF(Data!AY160&lt;=MEDIAN(Data!AY$4:AY$195),2,IF(Data!AY160&lt;=QUARTILE(Data!AY$4:AY$195,3),3,4)))</f>
        <v>4</v>
      </c>
      <c r="AZ160" s="25">
        <f>IF(Data!AZ160&lt;=QUARTILE(Data!AZ$4:AZ$195,1),1,IF(Data!AZ160&lt;=MEDIAN(Data!AZ$4:AZ$195),2,IF(Data!AZ160&lt;=QUARTILE(Data!AZ$4:AZ$195,3),3,4)))</f>
        <v>1</v>
      </c>
      <c r="BA160" s="22">
        <f>IF(Data!BA160&lt;=QUARTILE(Data!BA$4:BA$195,1),1,IF(Data!BA160&lt;=MEDIAN(Data!BA$4:BA$195),2,IF(Data!BA160&lt;=QUARTILE(Data!BA$4:BA$195,3),3,4)))</f>
        <v>3</v>
      </c>
    </row>
    <row r="161" spans="1:53" x14ac:dyDescent="0.25">
      <c r="A161" s="4" t="s">
        <v>30</v>
      </c>
      <c r="B161" s="40">
        <v>2005</v>
      </c>
      <c r="C161" s="25">
        <v>11</v>
      </c>
      <c r="D161" s="28">
        <v>5</v>
      </c>
      <c r="E161" s="77" t="s">
        <v>97</v>
      </c>
      <c r="F161" s="28">
        <v>-1</v>
      </c>
      <c r="G161" s="28">
        <v>-2.8</v>
      </c>
      <c r="H161" s="22">
        <v>1.8</v>
      </c>
      <c r="I161" s="25">
        <f>IF(Data!I161&lt;=QUARTILE(Data!I$4:I$195,1),1,IF(Data!I161&lt;=MEDIAN(Data!I$4:I$195),2,IF(Data!I161&lt;=QUARTILE(Data!I$4:I$195,3),3,4)))</f>
        <v>2</v>
      </c>
      <c r="J161" s="28">
        <f>IF(Data!J161&lt;=QUARTILE(Data!J$4:J$195,1),1,IF(Data!J161&lt;=MEDIAN(Data!J$4:J$195),2,IF(Data!J161&lt;=QUARTILE(Data!J$4:J$195,3),3,4)))</f>
        <v>1</v>
      </c>
      <c r="K161" s="28">
        <f>IF(Data!K161&lt;=QUARTILE(Data!K$4:K$195,1),1,IF(Data!K161&lt;=MEDIAN(Data!K$4:K$195),2,IF(Data!K161&lt;=QUARTILE(Data!K$4:K$195,3),3,4)))</f>
        <v>2</v>
      </c>
      <c r="L161" s="22">
        <f>IF(Data!L161&lt;=QUARTILE(Data!L$4:L$195,1),1,IF(Data!L161&lt;=MEDIAN(Data!L$4:L$195),2,IF(Data!L161&lt;=QUARTILE(Data!L$4:L$195,3),3,4)))</f>
        <v>1</v>
      </c>
      <c r="M161" s="28">
        <f>IF(Data!M161&lt;=QUARTILE(Data!M$4:M$195,1),1,IF(Data!M161&lt;=MEDIAN(Data!M$4:M$195),2,IF(Data!M161&lt;=QUARTILE(Data!M$4:M$195,3),3,4)))</f>
        <v>2</v>
      </c>
      <c r="N161" s="28">
        <f>IF(Data!N161&lt;=QUARTILE(Data!N$4:N$195,1),1,IF(Data!N161&lt;=MEDIAN(Data!N$4:N$195),2,IF(Data!N161&lt;=QUARTILE(Data!N$4:N$195,3),3,4)))</f>
        <v>2</v>
      </c>
      <c r="O161" s="28">
        <f>IF(Data!O161&lt;=QUARTILE(Data!O$4:O$195,1),1,IF(Data!O161&lt;=MEDIAN(Data!O$4:O$195),2,IF(Data!O161&lt;=QUARTILE(Data!O$4:O$195,3),3,4)))</f>
        <v>1</v>
      </c>
      <c r="P161" s="28">
        <f>IF(Data!P161&lt;=QUARTILE(Data!P$4:P$195,1),1,IF(Data!P161&lt;=MEDIAN(Data!P$4:P$195),2,IF(Data!P161&lt;=QUARTILE(Data!P$4:P$195,3),3,4)))</f>
        <v>2</v>
      </c>
      <c r="Q161" s="28">
        <f>IF(Data!Q161&lt;=QUARTILE(Data!Q$4:Q$195,1),1,IF(Data!Q161&lt;=MEDIAN(Data!Q$4:Q$195),2,IF(Data!Q161&lt;=QUARTILE(Data!Q$4:Q$195,3),3,4)))</f>
        <v>2</v>
      </c>
      <c r="R161" s="28">
        <f>IF(Data!R161&lt;=QUARTILE(Data!R$4:R$195,1),1,IF(Data!R161&lt;=MEDIAN(Data!R$4:R$195),2,IF(Data!R161&lt;=QUARTILE(Data!R$4:R$195,3),3,4)))</f>
        <v>2</v>
      </c>
      <c r="S161" s="28">
        <f>IF(Data!S161&lt;=QUARTILE(Data!S$4:S$195,1),1,IF(Data!S161&lt;=MEDIAN(Data!S$4:S$195),2,IF(Data!S161&lt;=QUARTILE(Data!S$4:S$195,3),3,4)))</f>
        <v>3</v>
      </c>
      <c r="T161" s="22">
        <f>IF(Data!T161&lt;=QUARTILE(Data!T$4:T$195,1),1,IF(Data!T161&lt;=MEDIAN(Data!T$4:T$195),2,IF(Data!T161&lt;=QUARTILE(Data!T$4:T$195,3),3,4)))</f>
        <v>4</v>
      </c>
      <c r="U161" s="25">
        <f>IF(Data!U161&lt;=QUARTILE(Data!U$4:U$195,1),1,IF(Data!U161&lt;=MEDIAN(Data!U$4:U$195),2,IF(Data!U161&lt;=QUARTILE(Data!U$4:U$195,3),3,4)))</f>
        <v>3</v>
      </c>
      <c r="V161" s="28">
        <f>IF(Data!V161&lt;=QUARTILE(Data!V$4:V$195,1),1,IF(Data!V161&lt;=MEDIAN(Data!V$4:V$195),2,IF(Data!V161&lt;=QUARTILE(Data!V$4:V$195,3),3,4)))</f>
        <v>3</v>
      </c>
      <c r="W161" s="28">
        <f>IF(Data!W161&lt;=QUARTILE(Data!W$4:W$195,1),1,IF(Data!W161&lt;=MEDIAN(Data!W$4:W$195),2,IF(Data!W161&lt;=QUARTILE(Data!W$4:W$195,3),3,4)))</f>
        <v>2</v>
      </c>
      <c r="X161" s="22">
        <f>IF(Data!X161&lt;=QUARTILE(Data!X$4:X$195,1),1,IF(Data!X161&lt;=MEDIAN(Data!X$4:X$195),2,IF(Data!X161&lt;=QUARTILE(Data!X$4:X$195,3),3,4)))</f>
        <v>1</v>
      </c>
      <c r="Y161" s="30">
        <f>IF(Data!Y161&lt;=QUARTILE(Data!Y$4:Y$195,1),1,IF(Data!Y161&lt;=MEDIAN(Data!Y$4:Y$195),2,IF(Data!Y161&lt;=QUARTILE(Data!Y$4:Y$195,3),3,4)))</f>
        <v>2</v>
      </c>
      <c r="Z161" s="30">
        <f>IF(Data!Z161&lt;=QUARTILE(Data!Z$4:Z$195,1),1,IF(Data!Z161&lt;=MEDIAN(Data!Z$4:Z$195),2,IF(Data!Z161&lt;=QUARTILE(Data!Z$4:Z$195,3),3,4)))</f>
        <v>1</v>
      </c>
      <c r="AA161" s="25">
        <f>IF(Data!AA161&lt;=QUARTILE(Data!AA$4:AA$195,1),1,IF(Data!AA161&lt;=MEDIAN(Data!AA$4:AA$195),2,IF(Data!AA161&lt;=QUARTILE(Data!AA$4:AA$195,3),3,4)))</f>
        <v>4</v>
      </c>
      <c r="AB161" s="22">
        <f>IF(Data!AB161&lt;=QUARTILE(Data!AB$4:AB$195,1),1,IF(Data!AB161&lt;=MEDIAN(Data!AB$4:AB$195),2,IF(Data!AB161&lt;=QUARTILE(Data!AB$4:AB$195,3),3,4)))</f>
        <v>4</v>
      </c>
      <c r="AC161" s="25">
        <f>IF(Data!AC161&lt;=QUARTILE(Data!AC$4:AC$195,1),1,IF(Data!AC161&lt;=MEDIAN(Data!AC$4:AC$195),2,IF(Data!AC161&lt;=QUARTILE(Data!AC$4:AC$195,3),3,4)))</f>
        <v>2</v>
      </c>
      <c r="AD161" s="22">
        <f>IF(Data!AD161&lt;=QUARTILE(Data!AD$4:AD$195,1),1,IF(Data!AD161&lt;=MEDIAN(Data!AD$4:AD$195),2,IF(Data!AD161&lt;=QUARTILE(Data!AD$4:AD$195,3),3,4)))</f>
        <v>1</v>
      </c>
      <c r="AE161" s="28">
        <f>IF(Data!AE161&lt;=QUARTILE(Data!AE$4:AE$195,1),1,IF(Data!AE161&lt;=MEDIAN(Data!AE$4:AE$195),2,IF(Data!AE161&lt;=QUARTILE(Data!AE$4:AE$195,3),3,4)))</f>
        <v>1</v>
      </c>
      <c r="AF161" s="28">
        <f>IF(Data!AF161&lt;=QUARTILE(Data!AF$4:AF$195,1),1,IF(Data!AF161&lt;=MEDIAN(Data!AF$4:AF$195),2,IF(Data!AF161&lt;=QUARTILE(Data!AF$4:AF$195,3),3,4)))</f>
        <v>1</v>
      </c>
      <c r="AG161" s="28">
        <f>IF(Data!AG161&lt;=QUARTILE(Data!AG$4:AG$195,1),1,IF(Data!AG161&lt;=MEDIAN(Data!AG$4:AG$195),2,IF(Data!AG161&lt;=QUARTILE(Data!AG$4:AG$195,3),3,4)))</f>
        <v>3</v>
      </c>
      <c r="AH161" s="22">
        <f>IF(Data!AH161&lt;=QUARTILE(Data!AH$4:AH$195,1),1,IF(Data!AH161&lt;=MEDIAN(Data!AH$4:AH$195),2,IF(Data!AH161&lt;=QUARTILE(Data!AH$4:AH$195,3),3,4)))</f>
        <v>4</v>
      </c>
      <c r="AI161" s="25">
        <f>IF(Data!AI161&lt;=QUARTILE(Data!AI$4:AI$195,1),1,IF(Data!AI161&lt;=MEDIAN(Data!AI$4:AI$195),2,IF(Data!AI161&lt;=QUARTILE(Data!AI$4:AI$195,3),3,4)))</f>
        <v>4</v>
      </c>
      <c r="AJ161" s="22">
        <f>IF(Data!AJ161&lt;=QUARTILE(Data!AJ$4:AJ$195,1),1,IF(Data!AJ161&lt;=MEDIAN(Data!AJ$4:AJ$195),2,IF(Data!AJ161&lt;=QUARTILE(Data!AJ$4:AJ$195,3),3,4)))</f>
        <v>4</v>
      </c>
      <c r="AK161" s="25">
        <f>IF(Data!AK161&lt;=QUARTILE(Data!AK$4:AK$195,1),1,IF(Data!AK161&lt;=MEDIAN(Data!AK$4:AK$195),2,IF(Data!AK161&lt;=QUARTILE(Data!AK$4:AK$195,3),3,4)))</f>
        <v>1</v>
      </c>
      <c r="AL161" s="28">
        <f>IF(Data!AL161&lt;=QUARTILE(Data!AL$4:AL$195,1),1,IF(Data!AL161&lt;=MEDIAN(Data!AL$4:AL$195),2,IF(Data!AL161&lt;=QUARTILE(Data!AL$4:AL$195,3),3,4)))</f>
        <v>1</v>
      </c>
      <c r="AM161" s="28">
        <f>IF(Data!AM161&lt;=QUARTILE(Data!AM$4:AM$195,1),1,IF(Data!AM161&lt;=MEDIAN(Data!AM$4:AM$195),2,IF(Data!AM161&lt;=QUARTILE(Data!AM$4:AM$195,3),3,4)))</f>
        <v>1</v>
      </c>
      <c r="AN161" s="22">
        <f>IF(Data!AN161&lt;=QUARTILE(Data!AN$4:AN$195,1),1,IF(Data!AN161&lt;=MEDIAN(Data!AN$4:AN$195),2,IF(Data!AN161&lt;=QUARTILE(Data!AN$4:AN$195,3),3,4)))</f>
        <v>1</v>
      </c>
      <c r="AO161" s="28">
        <f>IF(Data!AO161&lt;=QUARTILE(Data!AO$4:AO$195,1),1,IF(Data!AO161&lt;=MEDIAN(Data!AO$4:AO$195),2,IF(Data!AO161&lt;=QUARTILE(Data!AO$4:AO$195,3),3,4)))</f>
        <v>1</v>
      </c>
      <c r="AP161" s="28">
        <f>IF(Data!AP161&lt;=QUARTILE(Data!AP$4:AP$195,1),1,IF(Data!AP161&lt;=MEDIAN(Data!AP$4:AP$195),2,IF(Data!AP161&lt;=QUARTILE(Data!AP$4:AP$195,3),3,4)))</f>
        <v>1</v>
      </c>
      <c r="AQ161" s="28">
        <f>IF(Data!AQ161&lt;=QUARTILE(Data!AQ$4:AQ$195,1),1,IF(Data!AQ161&lt;=MEDIAN(Data!AQ$4:AQ$195),2,IF(Data!AQ161&lt;=QUARTILE(Data!AQ$4:AQ$195,3),3,4)))</f>
        <v>1</v>
      </c>
      <c r="AR161" s="28">
        <f>IF(Data!AR161&lt;=QUARTILE(Data!AR$4:AR$195,1),1,IF(Data!AR161&lt;=MEDIAN(Data!AR$4:AR$195),2,IF(Data!AR161&lt;=QUARTILE(Data!AR$4:AR$195,3),3,4)))</f>
        <v>1</v>
      </c>
      <c r="AS161" s="28">
        <f>IF(Data!AS161&lt;=QUARTILE(Data!AS$4:AS$195,1),1,IF(Data!AS161&lt;=MEDIAN(Data!AS$4:AS$195),2,IF(Data!AS161&lt;=QUARTILE(Data!AS$4:AS$195,3),3,4)))</f>
        <v>1</v>
      </c>
      <c r="AT161" s="28">
        <f>IF(Data!AT161&lt;=QUARTILE(Data!AT$4:AT$195,1),1,IF(Data!AT161&lt;=MEDIAN(Data!AT$4:AT$195),2,IF(Data!AT161&lt;=QUARTILE(Data!AT$4:AT$195,3),3,4)))</f>
        <v>3</v>
      </c>
      <c r="AU161" s="22">
        <f>IF(Data!AU161&lt;=QUARTILE(Data!AU$4:AU$195,1),1,IF(Data!AU161&lt;=MEDIAN(Data!AU$4:AU$195),2,IF(Data!AU161&lt;=QUARTILE(Data!AU$4:AU$195,3),3,4)))</f>
        <v>3</v>
      </c>
      <c r="AV161" s="25">
        <f>IF(Data!AV161&lt;=QUARTILE(Data!AV$4:AV$195,1),1,IF(Data!AV161&lt;=MEDIAN(Data!AV$4:AV$195),2,IF(Data!AV161&lt;=QUARTILE(Data!AV$4:AV$195,3),3,4)))</f>
        <v>2</v>
      </c>
      <c r="AW161" s="28">
        <f>IF(Data!AW161&lt;=QUARTILE(Data!AW$4:AW$195,1),1,IF(Data!AW161&lt;=MEDIAN(Data!AW$4:AW$195),2,IF(Data!AW161&lt;=QUARTILE(Data!AW$4:AW$195,3),3,4)))</f>
        <v>1</v>
      </c>
      <c r="AX161" s="28">
        <f>IF(Data!AX161&lt;=QUARTILE(Data!AX$4:AX$195,1),1,IF(Data!AX161&lt;=MEDIAN(Data!AX$4:AX$195),2,IF(Data!AX161&lt;=QUARTILE(Data!AX$4:AX$195,3),3,4)))</f>
        <v>1</v>
      </c>
      <c r="AY161" s="22">
        <f>IF(Data!AY161&lt;=QUARTILE(Data!AY$4:AY$195,1),1,IF(Data!AY161&lt;=MEDIAN(Data!AY$4:AY$195),2,IF(Data!AY161&lt;=QUARTILE(Data!AY$4:AY$195,3),3,4)))</f>
        <v>1</v>
      </c>
      <c r="AZ161" s="25">
        <f>IF(Data!AZ161&lt;=QUARTILE(Data!AZ$4:AZ$195,1),1,IF(Data!AZ161&lt;=MEDIAN(Data!AZ$4:AZ$195),2,IF(Data!AZ161&lt;=QUARTILE(Data!AZ$4:AZ$195,3),3,4)))</f>
        <v>3</v>
      </c>
      <c r="BA161" s="22">
        <f>IF(Data!BA161&lt;=QUARTILE(Data!BA$4:BA$195,1),1,IF(Data!BA161&lt;=MEDIAN(Data!BA$4:BA$195),2,IF(Data!BA161&lt;=QUARTILE(Data!BA$4:BA$195,3),3,4)))</f>
        <v>3</v>
      </c>
    </row>
    <row r="162" spans="1:53" x14ac:dyDescent="0.25">
      <c r="A162" s="4" t="s">
        <v>13</v>
      </c>
      <c r="B162" s="40">
        <v>2005</v>
      </c>
      <c r="C162" s="25">
        <v>4</v>
      </c>
      <c r="D162" s="28">
        <v>12</v>
      </c>
      <c r="E162" s="77" t="s">
        <v>96</v>
      </c>
      <c r="F162" s="28">
        <v>-7.6</v>
      </c>
      <c r="G162" s="28">
        <v>-2</v>
      </c>
      <c r="H162" s="22">
        <v>-5.5</v>
      </c>
      <c r="I162" s="25">
        <f>IF(Data!I162&lt;=QUARTILE(Data!I$4:I$195,1),1,IF(Data!I162&lt;=MEDIAN(Data!I$4:I$195),2,IF(Data!I162&lt;=QUARTILE(Data!I$4:I$195,3),3,4)))</f>
        <v>2</v>
      </c>
      <c r="J162" s="28">
        <f>IF(Data!J162&lt;=QUARTILE(Data!J$4:J$195,1),1,IF(Data!J162&lt;=MEDIAN(Data!J$4:J$195),2,IF(Data!J162&lt;=QUARTILE(Data!J$4:J$195,3),3,4)))</f>
        <v>2</v>
      </c>
      <c r="K162" s="28">
        <f>IF(Data!K162&lt;=QUARTILE(Data!K$4:K$195,1),1,IF(Data!K162&lt;=MEDIAN(Data!K$4:K$195),2,IF(Data!K162&lt;=QUARTILE(Data!K$4:K$195,3),3,4)))</f>
        <v>3</v>
      </c>
      <c r="L162" s="22">
        <f>IF(Data!L162&lt;=QUARTILE(Data!L$4:L$195,1),1,IF(Data!L162&lt;=MEDIAN(Data!L$4:L$195),2,IF(Data!L162&lt;=QUARTILE(Data!L$4:L$195,3),3,4)))</f>
        <v>2</v>
      </c>
      <c r="M162" s="28">
        <f>IF(Data!M162&lt;=QUARTILE(Data!M$4:M$195,1),1,IF(Data!M162&lt;=MEDIAN(Data!M$4:M$195),2,IF(Data!M162&lt;=QUARTILE(Data!M$4:M$195,3),3,4)))</f>
        <v>4</v>
      </c>
      <c r="N162" s="28">
        <f>IF(Data!N162&lt;=QUARTILE(Data!N$4:N$195,1),1,IF(Data!N162&lt;=MEDIAN(Data!N$4:N$195),2,IF(Data!N162&lt;=QUARTILE(Data!N$4:N$195,3),3,4)))</f>
        <v>4</v>
      </c>
      <c r="O162" s="28">
        <f>IF(Data!O162&lt;=QUARTILE(Data!O$4:O$195,1),1,IF(Data!O162&lt;=MEDIAN(Data!O$4:O$195),2,IF(Data!O162&lt;=QUARTILE(Data!O$4:O$195,3),3,4)))</f>
        <v>3</v>
      </c>
      <c r="P162" s="28">
        <f>IF(Data!P162&lt;=QUARTILE(Data!P$4:P$195,1),1,IF(Data!P162&lt;=MEDIAN(Data!P$4:P$195),2,IF(Data!P162&lt;=QUARTILE(Data!P$4:P$195,3),3,4)))</f>
        <v>2</v>
      </c>
      <c r="Q162" s="28">
        <f>IF(Data!Q162&lt;=QUARTILE(Data!Q$4:Q$195,1),1,IF(Data!Q162&lt;=MEDIAN(Data!Q$4:Q$195),2,IF(Data!Q162&lt;=QUARTILE(Data!Q$4:Q$195,3),3,4)))</f>
        <v>3</v>
      </c>
      <c r="R162" s="28">
        <f>IF(Data!R162&lt;=QUARTILE(Data!R$4:R$195,1),1,IF(Data!R162&lt;=MEDIAN(Data!R$4:R$195),2,IF(Data!R162&lt;=QUARTILE(Data!R$4:R$195,3),3,4)))</f>
        <v>2</v>
      </c>
      <c r="S162" s="28">
        <f>IF(Data!S162&lt;=QUARTILE(Data!S$4:S$195,1),1,IF(Data!S162&lt;=MEDIAN(Data!S$4:S$195),2,IF(Data!S162&lt;=QUARTILE(Data!S$4:S$195,3),3,4)))</f>
        <v>2</v>
      </c>
      <c r="T162" s="22">
        <f>IF(Data!T162&lt;=QUARTILE(Data!T$4:T$195,1),1,IF(Data!T162&lt;=MEDIAN(Data!T$4:T$195),2,IF(Data!T162&lt;=QUARTILE(Data!T$4:T$195,3),3,4)))</f>
        <v>2</v>
      </c>
      <c r="U162" s="25">
        <f>IF(Data!U162&lt;=QUARTILE(Data!U$4:U$195,1),1,IF(Data!U162&lt;=MEDIAN(Data!U$4:U$195),2,IF(Data!U162&lt;=QUARTILE(Data!U$4:U$195,3),3,4)))</f>
        <v>1</v>
      </c>
      <c r="V162" s="28">
        <f>IF(Data!V162&lt;=QUARTILE(Data!V$4:V$195,1),1,IF(Data!V162&lt;=MEDIAN(Data!V$4:V$195),2,IF(Data!V162&lt;=QUARTILE(Data!V$4:V$195,3),3,4)))</f>
        <v>1</v>
      </c>
      <c r="W162" s="28">
        <f>IF(Data!W162&lt;=QUARTILE(Data!W$4:W$195,1),1,IF(Data!W162&lt;=MEDIAN(Data!W$4:W$195),2,IF(Data!W162&lt;=QUARTILE(Data!W$4:W$195,3),3,4)))</f>
        <v>1</v>
      </c>
      <c r="X162" s="22">
        <f>IF(Data!X162&lt;=QUARTILE(Data!X$4:X$195,1),1,IF(Data!X162&lt;=MEDIAN(Data!X$4:X$195),2,IF(Data!X162&lt;=QUARTILE(Data!X$4:X$195,3),3,4)))</f>
        <v>1</v>
      </c>
      <c r="Y162" s="30">
        <f>IF(Data!Y162&lt;=QUARTILE(Data!Y$4:Y$195,1),1,IF(Data!Y162&lt;=MEDIAN(Data!Y$4:Y$195),2,IF(Data!Y162&lt;=QUARTILE(Data!Y$4:Y$195,3),3,4)))</f>
        <v>2</v>
      </c>
      <c r="Z162" s="30">
        <f>IF(Data!Z162&lt;=QUARTILE(Data!Z$4:Z$195,1),1,IF(Data!Z162&lt;=MEDIAN(Data!Z$4:Z$195),2,IF(Data!Z162&lt;=QUARTILE(Data!Z$4:Z$195,3),3,4)))</f>
        <v>2</v>
      </c>
      <c r="AA162" s="25">
        <f>IF(Data!AA162&lt;=QUARTILE(Data!AA$4:AA$195,1),1,IF(Data!AA162&lt;=MEDIAN(Data!AA$4:AA$195),2,IF(Data!AA162&lt;=QUARTILE(Data!AA$4:AA$195,3),3,4)))</f>
        <v>4</v>
      </c>
      <c r="AB162" s="22">
        <f>IF(Data!AB162&lt;=QUARTILE(Data!AB$4:AB$195,1),1,IF(Data!AB162&lt;=MEDIAN(Data!AB$4:AB$195),2,IF(Data!AB162&lt;=QUARTILE(Data!AB$4:AB$195,3),3,4)))</f>
        <v>4</v>
      </c>
      <c r="AC162" s="25">
        <f>IF(Data!AC162&lt;=QUARTILE(Data!AC$4:AC$195,1),1,IF(Data!AC162&lt;=MEDIAN(Data!AC$4:AC$195),2,IF(Data!AC162&lt;=QUARTILE(Data!AC$4:AC$195,3),3,4)))</f>
        <v>3</v>
      </c>
      <c r="AD162" s="22">
        <f>IF(Data!AD162&lt;=QUARTILE(Data!AD$4:AD$195,1),1,IF(Data!AD162&lt;=MEDIAN(Data!AD$4:AD$195),2,IF(Data!AD162&lt;=QUARTILE(Data!AD$4:AD$195,3),3,4)))</f>
        <v>4</v>
      </c>
      <c r="AE162" s="28">
        <f>IF(Data!AE162&lt;=QUARTILE(Data!AE$4:AE$195,1),1,IF(Data!AE162&lt;=MEDIAN(Data!AE$4:AE$195),2,IF(Data!AE162&lt;=QUARTILE(Data!AE$4:AE$195,3),3,4)))</f>
        <v>2</v>
      </c>
      <c r="AF162" s="28">
        <f>IF(Data!AF162&lt;=QUARTILE(Data!AF$4:AF$195,1),1,IF(Data!AF162&lt;=MEDIAN(Data!AF$4:AF$195),2,IF(Data!AF162&lt;=QUARTILE(Data!AF$4:AF$195,3),3,4)))</f>
        <v>2</v>
      </c>
      <c r="AG162" s="28">
        <f>IF(Data!AG162&lt;=QUARTILE(Data!AG$4:AG$195,1),1,IF(Data!AG162&lt;=MEDIAN(Data!AG$4:AG$195),2,IF(Data!AG162&lt;=QUARTILE(Data!AG$4:AG$195,3),3,4)))</f>
        <v>3</v>
      </c>
      <c r="AH162" s="22">
        <f>IF(Data!AH162&lt;=QUARTILE(Data!AH$4:AH$195,1),1,IF(Data!AH162&lt;=MEDIAN(Data!AH$4:AH$195),2,IF(Data!AH162&lt;=QUARTILE(Data!AH$4:AH$195,3),3,4)))</f>
        <v>2</v>
      </c>
      <c r="AI162" s="25">
        <f>IF(Data!AI162&lt;=QUARTILE(Data!AI$4:AI$195,1),1,IF(Data!AI162&lt;=MEDIAN(Data!AI$4:AI$195),2,IF(Data!AI162&lt;=QUARTILE(Data!AI$4:AI$195,3),3,4)))</f>
        <v>3</v>
      </c>
      <c r="AJ162" s="22">
        <f>IF(Data!AJ162&lt;=QUARTILE(Data!AJ$4:AJ$195,1),1,IF(Data!AJ162&lt;=MEDIAN(Data!AJ$4:AJ$195),2,IF(Data!AJ162&lt;=QUARTILE(Data!AJ$4:AJ$195,3),3,4)))</f>
        <v>3</v>
      </c>
      <c r="AK162" s="25">
        <f>IF(Data!AK162&lt;=QUARTILE(Data!AK$4:AK$195,1),1,IF(Data!AK162&lt;=MEDIAN(Data!AK$4:AK$195),2,IF(Data!AK162&lt;=QUARTILE(Data!AK$4:AK$195,3),3,4)))</f>
        <v>4</v>
      </c>
      <c r="AL162" s="28">
        <f>IF(Data!AL162&lt;=QUARTILE(Data!AL$4:AL$195,1),1,IF(Data!AL162&lt;=MEDIAN(Data!AL$4:AL$195),2,IF(Data!AL162&lt;=QUARTILE(Data!AL$4:AL$195,3),3,4)))</f>
        <v>2</v>
      </c>
      <c r="AM162" s="28">
        <f>IF(Data!AM162&lt;=QUARTILE(Data!AM$4:AM$195,1),1,IF(Data!AM162&lt;=MEDIAN(Data!AM$4:AM$195),2,IF(Data!AM162&lt;=QUARTILE(Data!AM$4:AM$195,3),3,4)))</f>
        <v>1</v>
      </c>
      <c r="AN162" s="22">
        <f>IF(Data!AN162&lt;=QUARTILE(Data!AN$4:AN$195,1),1,IF(Data!AN162&lt;=MEDIAN(Data!AN$4:AN$195),2,IF(Data!AN162&lt;=QUARTILE(Data!AN$4:AN$195,3),3,4)))</f>
        <v>2</v>
      </c>
      <c r="AO162" s="28">
        <f>IF(Data!AO162&lt;=QUARTILE(Data!AO$4:AO$195,1),1,IF(Data!AO162&lt;=MEDIAN(Data!AO$4:AO$195),2,IF(Data!AO162&lt;=QUARTILE(Data!AO$4:AO$195,3),3,4)))</f>
        <v>2</v>
      </c>
      <c r="AP162" s="28">
        <f>IF(Data!AP162&lt;=QUARTILE(Data!AP$4:AP$195,1),1,IF(Data!AP162&lt;=MEDIAN(Data!AP$4:AP$195),2,IF(Data!AP162&lt;=QUARTILE(Data!AP$4:AP$195,3),3,4)))</f>
        <v>1</v>
      </c>
      <c r="AQ162" s="28">
        <f>IF(Data!AQ162&lt;=QUARTILE(Data!AQ$4:AQ$195,1),1,IF(Data!AQ162&lt;=MEDIAN(Data!AQ$4:AQ$195),2,IF(Data!AQ162&lt;=QUARTILE(Data!AQ$4:AQ$195,3),3,4)))</f>
        <v>2</v>
      </c>
      <c r="AR162" s="28">
        <f>IF(Data!AR162&lt;=QUARTILE(Data!AR$4:AR$195,1),1,IF(Data!AR162&lt;=MEDIAN(Data!AR$4:AR$195),2,IF(Data!AR162&lt;=QUARTILE(Data!AR$4:AR$195,3),3,4)))</f>
        <v>4</v>
      </c>
      <c r="AS162" s="28">
        <f>IF(Data!AS162&lt;=QUARTILE(Data!AS$4:AS$195,1),1,IF(Data!AS162&lt;=MEDIAN(Data!AS$4:AS$195),2,IF(Data!AS162&lt;=QUARTILE(Data!AS$4:AS$195,3),3,4)))</f>
        <v>3</v>
      </c>
      <c r="AT162" s="28">
        <f>IF(Data!AT162&lt;=QUARTILE(Data!AT$4:AT$195,1),1,IF(Data!AT162&lt;=MEDIAN(Data!AT$4:AT$195),2,IF(Data!AT162&lt;=QUARTILE(Data!AT$4:AT$195,3),3,4)))</f>
        <v>4</v>
      </c>
      <c r="AU162" s="22">
        <f>IF(Data!AU162&lt;=QUARTILE(Data!AU$4:AU$195,1),1,IF(Data!AU162&lt;=MEDIAN(Data!AU$4:AU$195),2,IF(Data!AU162&lt;=QUARTILE(Data!AU$4:AU$195,3),3,4)))</f>
        <v>3</v>
      </c>
      <c r="AV162" s="25">
        <f>IF(Data!AV162&lt;=QUARTILE(Data!AV$4:AV$195,1),1,IF(Data!AV162&lt;=MEDIAN(Data!AV$4:AV$195),2,IF(Data!AV162&lt;=QUARTILE(Data!AV$4:AV$195,3),3,4)))</f>
        <v>3</v>
      </c>
      <c r="AW162" s="28">
        <f>IF(Data!AW162&lt;=QUARTILE(Data!AW$4:AW$195,1),1,IF(Data!AW162&lt;=MEDIAN(Data!AW$4:AW$195),2,IF(Data!AW162&lt;=QUARTILE(Data!AW$4:AW$195,3),3,4)))</f>
        <v>3</v>
      </c>
      <c r="AX162" s="28">
        <f>IF(Data!AX162&lt;=QUARTILE(Data!AX$4:AX$195,1),1,IF(Data!AX162&lt;=MEDIAN(Data!AX$4:AX$195),2,IF(Data!AX162&lt;=QUARTILE(Data!AX$4:AX$195,3),3,4)))</f>
        <v>2</v>
      </c>
      <c r="AY162" s="22">
        <f>IF(Data!AY162&lt;=QUARTILE(Data!AY$4:AY$195,1),1,IF(Data!AY162&lt;=MEDIAN(Data!AY$4:AY$195),2,IF(Data!AY162&lt;=QUARTILE(Data!AY$4:AY$195,3),3,4)))</f>
        <v>2</v>
      </c>
      <c r="AZ162" s="25">
        <f>IF(Data!AZ162&lt;=QUARTILE(Data!AZ$4:AZ$195,1),1,IF(Data!AZ162&lt;=MEDIAN(Data!AZ$4:AZ$195),2,IF(Data!AZ162&lt;=QUARTILE(Data!AZ$4:AZ$195,3),3,4)))</f>
        <v>1</v>
      </c>
      <c r="BA162" s="22">
        <f>IF(Data!BA162&lt;=QUARTILE(Data!BA$4:BA$195,1),1,IF(Data!BA162&lt;=MEDIAN(Data!BA$4:BA$195),2,IF(Data!BA162&lt;=QUARTILE(Data!BA$4:BA$195,3),3,4)))</f>
        <v>2</v>
      </c>
    </row>
    <row r="163" spans="1:53" ht="15.75" thickBot="1" x14ac:dyDescent="0.3">
      <c r="A163" s="6" t="s">
        <v>22</v>
      </c>
      <c r="B163" s="41">
        <v>2005</v>
      </c>
      <c r="C163" s="26">
        <v>10</v>
      </c>
      <c r="D163" s="29">
        <v>6</v>
      </c>
      <c r="E163" s="78" t="s">
        <v>97</v>
      </c>
      <c r="F163" s="29">
        <v>6</v>
      </c>
      <c r="G163" s="29">
        <v>2.6</v>
      </c>
      <c r="H163" s="23">
        <v>3.4</v>
      </c>
      <c r="I163" s="26">
        <f>IF(Data!I163&lt;=QUARTILE(Data!I$4:I$195,1),1,IF(Data!I163&lt;=MEDIAN(Data!I$4:I$195),2,IF(Data!I163&lt;=QUARTILE(Data!I$4:I$195,3),3,4)))</f>
        <v>3</v>
      </c>
      <c r="J163" s="29">
        <f>IF(Data!J163&lt;=QUARTILE(Data!J$4:J$195,1),1,IF(Data!J163&lt;=MEDIAN(Data!J$4:J$195),2,IF(Data!J163&lt;=QUARTILE(Data!J$4:J$195,3),3,4)))</f>
        <v>3</v>
      </c>
      <c r="K163" s="29">
        <f>IF(Data!K163&lt;=QUARTILE(Data!K$4:K$195,1),1,IF(Data!K163&lt;=MEDIAN(Data!K$4:K$195),2,IF(Data!K163&lt;=QUARTILE(Data!K$4:K$195,3),3,4)))</f>
        <v>4</v>
      </c>
      <c r="L163" s="23">
        <f>IF(Data!L163&lt;=QUARTILE(Data!L$4:L$195,1),1,IF(Data!L163&lt;=MEDIAN(Data!L$4:L$195),2,IF(Data!L163&lt;=QUARTILE(Data!L$4:L$195,3),3,4)))</f>
        <v>3</v>
      </c>
      <c r="M163" s="29">
        <f>IF(Data!M163&lt;=QUARTILE(Data!M$4:M$195,1),1,IF(Data!M163&lt;=MEDIAN(Data!M$4:M$195),2,IF(Data!M163&lt;=QUARTILE(Data!M$4:M$195,3),3,4)))</f>
        <v>1</v>
      </c>
      <c r="N163" s="29">
        <f>IF(Data!N163&lt;=QUARTILE(Data!N$4:N$195,1),1,IF(Data!N163&lt;=MEDIAN(Data!N$4:N$195),2,IF(Data!N163&lt;=QUARTILE(Data!N$4:N$195,3),3,4)))</f>
        <v>2</v>
      </c>
      <c r="O163" s="29">
        <f>IF(Data!O163&lt;=QUARTILE(Data!O$4:O$195,1),1,IF(Data!O163&lt;=MEDIAN(Data!O$4:O$195),2,IF(Data!O163&lt;=QUARTILE(Data!O$4:O$195,3),3,4)))</f>
        <v>2</v>
      </c>
      <c r="P163" s="29">
        <f>IF(Data!P163&lt;=QUARTILE(Data!P$4:P$195,1),1,IF(Data!P163&lt;=MEDIAN(Data!P$4:P$195),2,IF(Data!P163&lt;=QUARTILE(Data!P$4:P$195,3),3,4)))</f>
        <v>3</v>
      </c>
      <c r="Q163" s="29">
        <f>IF(Data!Q163&lt;=QUARTILE(Data!Q$4:Q$195,1),1,IF(Data!Q163&lt;=MEDIAN(Data!Q$4:Q$195),2,IF(Data!Q163&lt;=QUARTILE(Data!Q$4:Q$195,3),3,4)))</f>
        <v>2</v>
      </c>
      <c r="R163" s="29">
        <f>IF(Data!R163&lt;=QUARTILE(Data!R$4:R$195,1),1,IF(Data!R163&lt;=MEDIAN(Data!R$4:R$195),2,IF(Data!R163&lt;=QUARTILE(Data!R$4:R$195,3),3,4)))</f>
        <v>3</v>
      </c>
      <c r="S163" s="29">
        <f>IF(Data!S163&lt;=QUARTILE(Data!S$4:S$195,1),1,IF(Data!S163&lt;=MEDIAN(Data!S$4:S$195),2,IF(Data!S163&lt;=QUARTILE(Data!S$4:S$195,3),3,4)))</f>
        <v>2</v>
      </c>
      <c r="T163" s="23">
        <f>IF(Data!T163&lt;=QUARTILE(Data!T$4:T$195,1),1,IF(Data!T163&lt;=MEDIAN(Data!T$4:T$195),2,IF(Data!T163&lt;=QUARTILE(Data!T$4:T$195,3),3,4)))</f>
        <v>3</v>
      </c>
      <c r="U163" s="26">
        <f>IF(Data!U163&lt;=QUARTILE(Data!U$4:U$195,1),1,IF(Data!U163&lt;=MEDIAN(Data!U$4:U$195),2,IF(Data!U163&lt;=QUARTILE(Data!U$4:U$195,3),3,4)))</f>
        <v>4</v>
      </c>
      <c r="V163" s="29">
        <f>IF(Data!V163&lt;=QUARTILE(Data!V$4:V$195,1),1,IF(Data!V163&lt;=MEDIAN(Data!V$4:V$195),2,IF(Data!V163&lt;=QUARTILE(Data!V$4:V$195,3),3,4)))</f>
        <v>4</v>
      </c>
      <c r="W163" s="29">
        <f>IF(Data!W163&lt;=QUARTILE(Data!W$4:W$195,1),1,IF(Data!W163&lt;=MEDIAN(Data!W$4:W$195),2,IF(Data!W163&lt;=QUARTILE(Data!W$4:W$195,3),3,4)))</f>
        <v>3</v>
      </c>
      <c r="X163" s="23">
        <f>IF(Data!X163&lt;=QUARTILE(Data!X$4:X$195,1),1,IF(Data!X163&lt;=MEDIAN(Data!X$4:X$195),2,IF(Data!X163&lt;=QUARTILE(Data!X$4:X$195,3),3,4)))</f>
        <v>4</v>
      </c>
      <c r="Y163" s="30">
        <f>IF(Data!Y163&lt;=QUARTILE(Data!Y$4:Y$195,1),1,IF(Data!Y163&lt;=MEDIAN(Data!Y$4:Y$195),2,IF(Data!Y163&lt;=QUARTILE(Data!Y$4:Y$195,3),3,4)))</f>
        <v>1</v>
      </c>
      <c r="Z163" s="30">
        <f>IF(Data!Z163&lt;=QUARTILE(Data!Z$4:Z$195,1),1,IF(Data!Z163&lt;=MEDIAN(Data!Z$4:Z$195),2,IF(Data!Z163&lt;=QUARTILE(Data!Z$4:Z$195,3),3,4)))</f>
        <v>3</v>
      </c>
      <c r="AA163" s="26">
        <f>IF(Data!AA163&lt;=QUARTILE(Data!AA$4:AA$195,1),1,IF(Data!AA163&lt;=MEDIAN(Data!AA$4:AA$195),2,IF(Data!AA163&lt;=QUARTILE(Data!AA$4:AA$195,3),3,4)))</f>
        <v>1</v>
      </c>
      <c r="AB163" s="23">
        <f>IF(Data!AB163&lt;=QUARTILE(Data!AB$4:AB$195,1),1,IF(Data!AB163&lt;=MEDIAN(Data!AB$4:AB$195),2,IF(Data!AB163&lt;=QUARTILE(Data!AB$4:AB$195,3),3,4)))</f>
        <v>1</v>
      </c>
      <c r="AC163" s="26">
        <f>IF(Data!AC163&lt;=QUARTILE(Data!AC$4:AC$195,1),1,IF(Data!AC163&lt;=MEDIAN(Data!AC$4:AC$195),2,IF(Data!AC163&lt;=QUARTILE(Data!AC$4:AC$195,3),3,4)))</f>
        <v>2</v>
      </c>
      <c r="AD163" s="23">
        <f>IF(Data!AD163&lt;=QUARTILE(Data!AD$4:AD$195,1),1,IF(Data!AD163&lt;=MEDIAN(Data!AD$4:AD$195),2,IF(Data!AD163&lt;=QUARTILE(Data!AD$4:AD$195,3),3,4)))</f>
        <v>2</v>
      </c>
      <c r="AE163" s="29">
        <f>IF(Data!AE163&lt;=QUARTILE(Data!AE$4:AE$195,1),1,IF(Data!AE163&lt;=MEDIAN(Data!AE$4:AE$195),2,IF(Data!AE163&lt;=QUARTILE(Data!AE$4:AE$195,3),3,4)))</f>
        <v>1</v>
      </c>
      <c r="AF163" s="29">
        <f>IF(Data!AF163&lt;=QUARTILE(Data!AF$4:AF$195,1),1,IF(Data!AF163&lt;=MEDIAN(Data!AF$4:AF$195),2,IF(Data!AF163&lt;=QUARTILE(Data!AF$4:AF$195,3),3,4)))</f>
        <v>1</v>
      </c>
      <c r="AG163" s="29">
        <f>IF(Data!AG163&lt;=QUARTILE(Data!AG$4:AG$195,1),1,IF(Data!AG163&lt;=MEDIAN(Data!AG$4:AG$195),2,IF(Data!AG163&lt;=QUARTILE(Data!AG$4:AG$195,3),3,4)))</f>
        <v>1</v>
      </c>
      <c r="AH163" s="23">
        <f>IF(Data!AH163&lt;=QUARTILE(Data!AH$4:AH$195,1),1,IF(Data!AH163&lt;=MEDIAN(Data!AH$4:AH$195),2,IF(Data!AH163&lt;=QUARTILE(Data!AH$4:AH$195,3),3,4)))</f>
        <v>1</v>
      </c>
      <c r="AI163" s="26">
        <f>IF(Data!AI163&lt;=QUARTILE(Data!AI$4:AI$195,1),1,IF(Data!AI163&lt;=MEDIAN(Data!AI$4:AI$195),2,IF(Data!AI163&lt;=QUARTILE(Data!AI$4:AI$195,3),3,4)))</f>
        <v>4</v>
      </c>
      <c r="AJ163" s="23">
        <f>IF(Data!AJ163&lt;=QUARTILE(Data!AJ$4:AJ$195,1),1,IF(Data!AJ163&lt;=MEDIAN(Data!AJ$4:AJ$195),2,IF(Data!AJ163&lt;=QUARTILE(Data!AJ$4:AJ$195,3),3,4)))</f>
        <v>3</v>
      </c>
      <c r="AK163" s="26">
        <f>IF(Data!AK163&lt;=QUARTILE(Data!AK$4:AK$195,1),1,IF(Data!AK163&lt;=MEDIAN(Data!AK$4:AK$195),2,IF(Data!AK163&lt;=QUARTILE(Data!AK$4:AK$195,3),3,4)))</f>
        <v>1</v>
      </c>
      <c r="AL163" s="29">
        <f>IF(Data!AL163&lt;=QUARTILE(Data!AL$4:AL$195,1),1,IF(Data!AL163&lt;=MEDIAN(Data!AL$4:AL$195),2,IF(Data!AL163&lt;=QUARTILE(Data!AL$4:AL$195,3),3,4)))</f>
        <v>1</v>
      </c>
      <c r="AM163" s="29">
        <f>IF(Data!AM163&lt;=QUARTILE(Data!AM$4:AM$195,1),1,IF(Data!AM163&lt;=MEDIAN(Data!AM$4:AM$195),2,IF(Data!AM163&lt;=QUARTILE(Data!AM$4:AM$195,3),3,4)))</f>
        <v>2</v>
      </c>
      <c r="AN163" s="23">
        <f>IF(Data!AN163&lt;=QUARTILE(Data!AN$4:AN$195,1),1,IF(Data!AN163&lt;=MEDIAN(Data!AN$4:AN$195),2,IF(Data!AN163&lt;=QUARTILE(Data!AN$4:AN$195,3),3,4)))</f>
        <v>1</v>
      </c>
      <c r="AO163" s="29">
        <f>IF(Data!AO163&lt;=QUARTILE(Data!AO$4:AO$195,1),1,IF(Data!AO163&lt;=MEDIAN(Data!AO$4:AO$195),2,IF(Data!AO163&lt;=QUARTILE(Data!AO$4:AO$195,3),3,4)))</f>
        <v>1</v>
      </c>
      <c r="AP163" s="29">
        <f>IF(Data!AP163&lt;=QUARTILE(Data!AP$4:AP$195,1),1,IF(Data!AP163&lt;=MEDIAN(Data!AP$4:AP$195),2,IF(Data!AP163&lt;=QUARTILE(Data!AP$4:AP$195,3),3,4)))</f>
        <v>3</v>
      </c>
      <c r="AQ163" s="29">
        <f>IF(Data!AQ163&lt;=QUARTILE(Data!AQ$4:AQ$195,1),1,IF(Data!AQ163&lt;=MEDIAN(Data!AQ$4:AQ$195),2,IF(Data!AQ163&lt;=QUARTILE(Data!AQ$4:AQ$195,3),3,4)))</f>
        <v>1</v>
      </c>
      <c r="AR163" s="29">
        <f>IF(Data!AR163&lt;=QUARTILE(Data!AR$4:AR$195,1),1,IF(Data!AR163&lt;=MEDIAN(Data!AR$4:AR$195),2,IF(Data!AR163&lt;=QUARTILE(Data!AR$4:AR$195,3),3,4)))</f>
        <v>1</v>
      </c>
      <c r="AS163" s="29">
        <f>IF(Data!AS163&lt;=QUARTILE(Data!AS$4:AS$195,1),1,IF(Data!AS163&lt;=MEDIAN(Data!AS$4:AS$195),2,IF(Data!AS163&lt;=QUARTILE(Data!AS$4:AS$195,3),3,4)))</f>
        <v>1</v>
      </c>
      <c r="AT163" s="29">
        <f>IF(Data!AT163&lt;=QUARTILE(Data!AT$4:AT$195,1),1,IF(Data!AT163&lt;=MEDIAN(Data!AT$4:AT$195),2,IF(Data!AT163&lt;=QUARTILE(Data!AT$4:AT$195,3),3,4)))</f>
        <v>2</v>
      </c>
      <c r="AU163" s="23">
        <f>IF(Data!AU163&lt;=QUARTILE(Data!AU$4:AU$195,1),1,IF(Data!AU163&lt;=MEDIAN(Data!AU$4:AU$195),2,IF(Data!AU163&lt;=QUARTILE(Data!AU$4:AU$195,3),3,4)))</f>
        <v>3</v>
      </c>
      <c r="AV163" s="26">
        <f>IF(Data!AV163&lt;=QUARTILE(Data!AV$4:AV$195,1),1,IF(Data!AV163&lt;=MEDIAN(Data!AV$4:AV$195),2,IF(Data!AV163&lt;=QUARTILE(Data!AV$4:AV$195,3),3,4)))</f>
        <v>2</v>
      </c>
      <c r="AW163" s="29">
        <f>IF(Data!AW163&lt;=QUARTILE(Data!AW$4:AW$195,1),1,IF(Data!AW163&lt;=MEDIAN(Data!AW$4:AW$195),2,IF(Data!AW163&lt;=QUARTILE(Data!AW$4:AW$195,3),3,4)))</f>
        <v>2</v>
      </c>
      <c r="AX163" s="29">
        <f>IF(Data!AX163&lt;=QUARTILE(Data!AX$4:AX$195,1),1,IF(Data!AX163&lt;=MEDIAN(Data!AX$4:AX$195),2,IF(Data!AX163&lt;=QUARTILE(Data!AX$4:AX$195,3),3,4)))</f>
        <v>3</v>
      </c>
      <c r="AY163" s="23">
        <f>IF(Data!AY163&lt;=QUARTILE(Data!AY$4:AY$195,1),1,IF(Data!AY163&lt;=MEDIAN(Data!AY$4:AY$195),2,IF(Data!AY163&lt;=QUARTILE(Data!AY$4:AY$195,3),3,4)))</f>
        <v>1</v>
      </c>
      <c r="AZ163" s="26">
        <f>IF(Data!AZ163&lt;=QUARTILE(Data!AZ$4:AZ$195,1),1,IF(Data!AZ163&lt;=MEDIAN(Data!AZ$4:AZ$195),2,IF(Data!AZ163&lt;=QUARTILE(Data!AZ$4:AZ$195,3),3,4)))</f>
        <v>2</v>
      </c>
      <c r="BA163" s="23">
        <f>IF(Data!BA163&lt;=QUARTILE(Data!BA$4:BA$195,1),1,IF(Data!BA163&lt;=MEDIAN(Data!BA$4:BA$195),2,IF(Data!BA163&lt;=QUARTILE(Data!BA$4:BA$195,3),3,4)))</f>
        <v>3</v>
      </c>
    </row>
    <row r="164" spans="1:53" x14ac:dyDescent="0.25">
      <c r="A164" s="11" t="s">
        <v>31</v>
      </c>
      <c r="B164" s="39">
        <v>2004</v>
      </c>
      <c r="C164" s="24">
        <v>6</v>
      </c>
      <c r="D164" s="27">
        <v>10</v>
      </c>
      <c r="E164" s="76" t="s">
        <v>96</v>
      </c>
      <c r="F164" s="27">
        <v>-4.9000000000000004</v>
      </c>
      <c r="G164" s="27">
        <v>-5</v>
      </c>
      <c r="H164" s="21">
        <v>0.2</v>
      </c>
      <c r="I164" s="24">
        <f>IF(Data!I164&lt;=QUARTILE(Data!I$4:I$195,1),1,IF(Data!I164&lt;=MEDIAN(Data!I$4:I$195),2,IF(Data!I164&lt;=QUARTILE(Data!I$4:I$195,3),3,4)))</f>
        <v>1</v>
      </c>
      <c r="J164" s="27">
        <f>IF(Data!J164&lt;=QUARTILE(Data!J$4:J$195,1),1,IF(Data!J164&lt;=MEDIAN(Data!J$4:J$195),2,IF(Data!J164&lt;=QUARTILE(Data!J$4:J$195,3),3,4)))</f>
        <v>1</v>
      </c>
      <c r="K164" s="27">
        <f>IF(Data!K164&lt;=QUARTILE(Data!K$4:K$195,1),1,IF(Data!K164&lt;=MEDIAN(Data!K$4:K$195),2,IF(Data!K164&lt;=QUARTILE(Data!K$4:K$195,3),3,4)))</f>
        <v>4</v>
      </c>
      <c r="L164" s="21">
        <f>IF(Data!L164&lt;=QUARTILE(Data!L$4:L$195,1),1,IF(Data!L164&lt;=MEDIAN(Data!L$4:L$195),2,IF(Data!L164&lt;=QUARTILE(Data!L$4:L$195,3),3,4)))</f>
        <v>2</v>
      </c>
      <c r="M164" s="27">
        <f>IF(Data!M164&lt;=QUARTILE(Data!M$4:M$195,1),1,IF(Data!M164&lt;=MEDIAN(Data!M$4:M$195),2,IF(Data!M164&lt;=QUARTILE(Data!M$4:M$195,3),3,4)))</f>
        <v>2</v>
      </c>
      <c r="N164" s="27">
        <f>IF(Data!N164&lt;=QUARTILE(Data!N$4:N$195,1),1,IF(Data!N164&lt;=MEDIAN(Data!N$4:N$195),2,IF(Data!N164&lt;=QUARTILE(Data!N$4:N$195,3),3,4)))</f>
        <v>3</v>
      </c>
      <c r="O164" s="27">
        <f>IF(Data!O164&lt;=QUARTILE(Data!O$4:O$195,1),1,IF(Data!O164&lt;=MEDIAN(Data!O$4:O$195),2,IF(Data!O164&lt;=QUARTILE(Data!O$4:O$195,3),3,4)))</f>
        <v>1</v>
      </c>
      <c r="P164" s="27">
        <f>IF(Data!P164&lt;=QUARTILE(Data!P$4:P$195,1),1,IF(Data!P164&lt;=MEDIAN(Data!P$4:P$195),2,IF(Data!P164&lt;=QUARTILE(Data!P$4:P$195,3),3,4)))</f>
        <v>1</v>
      </c>
      <c r="Q164" s="27">
        <f>IF(Data!Q164&lt;=QUARTILE(Data!Q$4:Q$195,1),1,IF(Data!Q164&lt;=MEDIAN(Data!Q$4:Q$195),2,IF(Data!Q164&lt;=QUARTILE(Data!Q$4:Q$195,3),3,4)))</f>
        <v>1</v>
      </c>
      <c r="R164" s="27">
        <f>IF(Data!R164&lt;=QUARTILE(Data!R$4:R$195,1),1,IF(Data!R164&lt;=MEDIAN(Data!R$4:R$195),2,IF(Data!R164&lt;=QUARTILE(Data!R$4:R$195,3),3,4)))</f>
        <v>1</v>
      </c>
      <c r="S164" s="27">
        <f>IF(Data!S164&lt;=QUARTILE(Data!S$4:S$195,1),1,IF(Data!S164&lt;=MEDIAN(Data!S$4:S$195),2,IF(Data!S164&lt;=QUARTILE(Data!S$4:S$195,3),3,4)))</f>
        <v>3</v>
      </c>
      <c r="T164" s="21">
        <f>IF(Data!T164&lt;=QUARTILE(Data!T$4:T$195,1),1,IF(Data!T164&lt;=MEDIAN(Data!T$4:T$195),2,IF(Data!T164&lt;=QUARTILE(Data!T$4:T$195,3),3,4)))</f>
        <v>4</v>
      </c>
      <c r="U164" s="24">
        <f>IF(Data!U164&lt;=QUARTILE(Data!U$4:U$195,1),1,IF(Data!U164&lt;=MEDIAN(Data!U$4:U$195),2,IF(Data!U164&lt;=QUARTILE(Data!U$4:U$195,3),3,4)))</f>
        <v>3</v>
      </c>
      <c r="V164" s="27">
        <f>IF(Data!V164&lt;=QUARTILE(Data!V$4:V$195,1),1,IF(Data!V164&lt;=MEDIAN(Data!V$4:V$195),2,IF(Data!V164&lt;=QUARTILE(Data!V$4:V$195,3),3,4)))</f>
        <v>2</v>
      </c>
      <c r="W164" s="27">
        <f>IF(Data!W164&lt;=QUARTILE(Data!W$4:W$195,1),1,IF(Data!W164&lt;=MEDIAN(Data!W$4:W$195),2,IF(Data!W164&lt;=QUARTILE(Data!W$4:W$195,3),3,4)))</f>
        <v>3</v>
      </c>
      <c r="X164" s="21">
        <f>IF(Data!X164&lt;=QUARTILE(Data!X$4:X$195,1),1,IF(Data!X164&lt;=MEDIAN(Data!X$4:X$195),2,IF(Data!X164&lt;=QUARTILE(Data!X$4:X$195,3),3,4)))</f>
        <v>2</v>
      </c>
      <c r="Y164" s="31">
        <f>IF(Data!Y164&lt;=QUARTILE(Data!Y$4:Y$195,1),1,IF(Data!Y164&lt;=MEDIAN(Data!Y$4:Y$195),2,IF(Data!Y164&lt;=QUARTILE(Data!Y$4:Y$195,3),3,4)))</f>
        <v>3</v>
      </c>
      <c r="Z164" s="32">
        <f>IF(Data!Z164&lt;=QUARTILE(Data!Z$4:Z$195,1),1,IF(Data!Z164&lt;=MEDIAN(Data!Z$4:Z$195),2,IF(Data!Z164&lt;=QUARTILE(Data!Z$4:Z$195,3),3,4)))</f>
        <v>2</v>
      </c>
      <c r="AA164" s="24">
        <f>IF(Data!AA164&lt;=QUARTILE(Data!AA$4:AA$195,1),1,IF(Data!AA164&lt;=MEDIAN(Data!AA$4:AA$195),2,IF(Data!AA164&lt;=QUARTILE(Data!AA$4:AA$195,3),3,4)))</f>
        <v>4</v>
      </c>
      <c r="AB164" s="21">
        <f>IF(Data!AB164&lt;=QUARTILE(Data!AB$4:AB$195,1),1,IF(Data!AB164&lt;=MEDIAN(Data!AB$4:AB$195),2,IF(Data!AB164&lt;=QUARTILE(Data!AB$4:AB$195,3),3,4)))</f>
        <v>3</v>
      </c>
      <c r="AC164" s="24">
        <f>IF(Data!AC164&lt;=QUARTILE(Data!AC$4:AC$195,1),1,IF(Data!AC164&lt;=MEDIAN(Data!AC$4:AC$195),2,IF(Data!AC164&lt;=QUARTILE(Data!AC$4:AC$195,3),3,4)))</f>
        <v>2</v>
      </c>
      <c r="AD164" s="21">
        <f>IF(Data!AD164&lt;=QUARTILE(Data!AD$4:AD$195,1),1,IF(Data!AD164&lt;=MEDIAN(Data!AD$4:AD$195),2,IF(Data!AD164&lt;=QUARTILE(Data!AD$4:AD$195,3),3,4)))</f>
        <v>1</v>
      </c>
      <c r="AE164" s="27">
        <f>IF(Data!AE164&lt;=QUARTILE(Data!AE$4:AE$195,1),1,IF(Data!AE164&lt;=MEDIAN(Data!AE$4:AE$195),2,IF(Data!AE164&lt;=QUARTILE(Data!AE$4:AE$195,3),3,4)))</f>
        <v>1</v>
      </c>
      <c r="AF164" s="27">
        <f>IF(Data!AF164&lt;=QUARTILE(Data!AF$4:AF$195,1),1,IF(Data!AF164&lt;=MEDIAN(Data!AF$4:AF$195),2,IF(Data!AF164&lt;=QUARTILE(Data!AF$4:AF$195,3),3,4)))</f>
        <v>1</v>
      </c>
      <c r="AG164" s="27">
        <f>IF(Data!AG164&lt;=QUARTILE(Data!AG$4:AG$195,1),1,IF(Data!AG164&lt;=MEDIAN(Data!AG$4:AG$195),2,IF(Data!AG164&lt;=QUARTILE(Data!AG$4:AG$195,3),3,4)))</f>
        <v>4</v>
      </c>
      <c r="AH164" s="21">
        <f>IF(Data!AH164&lt;=QUARTILE(Data!AH$4:AH$195,1),1,IF(Data!AH164&lt;=MEDIAN(Data!AH$4:AH$195),2,IF(Data!AH164&lt;=QUARTILE(Data!AH$4:AH$195,3),3,4)))</f>
        <v>4</v>
      </c>
      <c r="AI164" s="24">
        <f>IF(Data!AI164&lt;=QUARTILE(Data!AI$4:AI$195,1),1,IF(Data!AI164&lt;=MEDIAN(Data!AI$4:AI$195),2,IF(Data!AI164&lt;=QUARTILE(Data!AI$4:AI$195,3),3,4)))</f>
        <v>4</v>
      </c>
      <c r="AJ164" s="21">
        <f>IF(Data!AJ164&lt;=QUARTILE(Data!AJ$4:AJ$195,1),1,IF(Data!AJ164&lt;=MEDIAN(Data!AJ$4:AJ$195),2,IF(Data!AJ164&lt;=QUARTILE(Data!AJ$4:AJ$195,3),3,4)))</f>
        <v>4</v>
      </c>
      <c r="AK164" s="24">
        <f>IF(Data!AK164&lt;=QUARTILE(Data!AK$4:AK$195,1),1,IF(Data!AK164&lt;=MEDIAN(Data!AK$4:AK$195),2,IF(Data!AK164&lt;=QUARTILE(Data!AK$4:AK$195,3),3,4)))</f>
        <v>2</v>
      </c>
      <c r="AL164" s="27">
        <f>IF(Data!AL164&lt;=QUARTILE(Data!AL$4:AL$195,1),1,IF(Data!AL164&lt;=MEDIAN(Data!AL$4:AL$195),2,IF(Data!AL164&lt;=QUARTILE(Data!AL$4:AL$195,3),3,4)))</f>
        <v>2</v>
      </c>
      <c r="AM164" s="27">
        <f>IF(Data!AM164&lt;=QUARTILE(Data!AM$4:AM$195,1),1,IF(Data!AM164&lt;=MEDIAN(Data!AM$4:AM$195),2,IF(Data!AM164&lt;=QUARTILE(Data!AM$4:AM$195,3),3,4)))</f>
        <v>2</v>
      </c>
      <c r="AN164" s="21">
        <f>IF(Data!AN164&lt;=QUARTILE(Data!AN$4:AN$195,1),1,IF(Data!AN164&lt;=MEDIAN(Data!AN$4:AN$195),2,IF(Data!AN164&lt;=QUARTILE(Data!AN$4:AN$195,3),3,4)))</f>
        <v>2</v>
      </c>
      <c r="AO164" s="27">
        <f>IF(Data!AO164&lt;=QUARTILE(Data!AO$4:AO$195,1),1,IF(Data!AO164&lt;=MEDIAN(Data!AO$4:AO$195),2,IF(Data!AO164&lt;=QUARTILE(Data!AO$4:AO$195,3),3,4)))</f>
        <v>1</v>
      </c>
      <c r="AP164" s="27">
        <f>IF(Data!AP164&lt;=QUARTILE(Data!AP$4:AP$195,1),1,IF(Data!AP164&lt;=MEDIAN(Data!AP$4:AP$195),2,IF(Data!AP164&lt;=QUARTILE(Data!AP$4:AP$195,3),3,4)))</f>
        <v>2</v>
      </c>
      <c r="AQ164" s="27">
        <f>IF(Data!AQ164&lt;=QUARTILE(Data!AQ$4:AQ$195,1),1,IF(Data!AQ164&lt;=MEDIAN(Data!AQ$4:AQ$195),2,IF(Data!AQ164&lt;=QUARTILE(Data!AQ$4:AQ$195,3),3,4)))</f>
        <v>1</v>
      </c>
      <c r="AR164" s="27">
        <f>IF(Data!AR164&lt;=QUARTILE(Data!AR$4:AR$195,1),1,IF(Data!AR164&lt;=MEDIAN(Data!AR$4:AR$195),2,IF(Data!AR164&lt;=QUARTILE(Data!AR$4:AR$195,3),3,4)))</f>
        <v>1</v>
      </c>
      <c r="AS164" s="27">
        <f>IF(Data!AS164&lt;=QUARTILE(Data!AS$4:AS$195,1),1,IF(Data!AS164&lt;=MEDIAN(Data!AS$4:AS$195),2,IF(Data!AS164&lt;=QUARTILE(Data!AS$4:AS$195,3),3,4)))</f>
        <v>1</v>
      </c>
      <c r="AT164" s="27">
        <f>IF(Data!AT164&lt;=QUARTILE(Data!AT$4:AT$195,1),1,IF(Data!AT164&lt;=MEDIAN(Data!AT$4:AT$195),2,IF(Data!AT164&lt;=QUARTILE(Data!AT$4:AT$195,3),3,4)))</f>
        <v>3</v>
      </c>
      <c r="AU164" s="21">
        <f>IF(Data!AU164&lt;=QUARTILE(Data!AU$4:AU$195,1),1,IF(Data!AU164&lt;=MEDIAN(Data!AU$4:AU$195),2,IF(Data!AU164&lt;=QUARTILE(Data!AU$4:AU$195,3),3,4)))</f>
        <v>3</v>
      </c>
      <c r="AV164" s="24">
        <f>IF(Data!AV164&lt;=QUARTILE(Data!AV$4:AV$195,1),1,IF(Data!AV164&lt;=MEDIAN(Data!AV$4:AV$195),2,IF(Data!AV164&lt;=QUARTILE(Data!AV$4:AV$195,3),3,4)))</f>
        <v>3</v>
      </c>
      <c r="AW164" s="27">
        <f>IF(Data!AW164&lt;=QUARTILE(Data!AW$4:AW$195,1),1,IF(Data!AW164&lt;=MEDIAN(Data!AW$4:AW$195),2,IF(Data!AW164&lt;=QUARTILE(Data!AW$4:AW$195,3),3,4)))</f>
        <v>4</v>
      </c>
      <c r="AX164" s="27">
        <f>IF(Data!AX164&lt;=QUARTILE(Data!AX$4:AX$195,1),1,IF(Data!AX164&lt;=MEDIAN(Data!AX$4:AX$195),2,IF(Data!AX164&lt;=QUARTILE(Data!AX$4:AX$195,3),3,4)))</f>
        <v>2</v>
      </c>
      <c r="AY164" s="21">
        <f>IF(Data!AY164&lt;=QUARTILE(Data!AY$4:AY$195,1),1,IF(Data!AY164&lt;=MEDIAN(Data!AY$4:AY$195),2,IF(Data!AY164&lt;=QUARTILE(Data!AY$4:AY$195,3),3,4)))</f>
        <v>3</v>
      </c>
      <c r="AZ164" s="24">
        <f>IF(Data!AZ164&lt;=QUARTILE(Data!AZ$4:AZ$195,1),1,IF(Data!AZ164&lt;=MEDIAN(Data!AZ$4:AZ$195),2,IF(Data!AZ164&lt;=QUARTILE(Data!AZ$4:AZ$195,3),3,4)))</f>
        <v>2</v>
      </c>
      <c r="BA164" s="21">
        <f>IF(Data!BA164&lt;=QUARTILE(Data!BA$4:BA$195,1),1,IF(Data!BA164&lt;=MEDIAN(Data!BA$4:BA$195),2,IF(Data!BA164&lt;=QUARTILE(Data!BA$4:BA$195,3),3,4)))</f>
        <v>4</v>
      </c>
    </row>
    <row r="165" spans="1:53" x14ac:dyDescent="0.25">
      <c r="A165" s="4" t="s">
        <v>28</v>
      </c>
      <c r="B165" s="40">
        <v>2004</v>
      </c>
      <c r="C165" s="25">
        <v>11</v>
      </c>
      <c r="D165" s="28">
        <v>5</v>
      </c>
      <c r="E165" s="77" t="s">
        <v>97</v>
      </c>
      <c r="F165" s="28">
        <v>-2.2000000000000002</v>
      </c>
      <c r="G165" s="28">
        <v>-1.8</v>
      </c>
      <c r="H165" s="22">
        <v>-0.4</v>
      </c>
      <c r="I165" s="25">
        <f>IF(Data!I165&lt;=QUARTILE(Data!I$4:I$195,1),1,IF(Data!I165&lt;=MEDIAN(Data!I$4:I$195),2,IF(Data!I165&lt;=QUARTILE(Data!I$4:I$195,3),3,4)))</f>
        <v>2</v>
      </c>
      <c r="J165" s="28">
        <f>IF(Data!J165&lt;=QUARTILE(Data!J$4:J$195,1),1,IF(Data!J165&lt;=MEDIAN(Data!J$4:J$195),2,IF(Data!J165&lt;=QUARTILE(Data!J$4:J$195,3),3,4)))</f>
        <v>2</v>
      </c>
      <c r="K165" s="28">
        <f>IF(Data!K165&lt;=QUARTILE(Data!K$4:K$195,1),1,IF(Data!K165&lt;=MEDIAN(Data!K$4:K$195),2,IF(Data!K165&lt;=QUARTILE(Data!K$4:K$195,3),3,4)))</f>
        <v>1</v>
      </c>
      <c r="L165" s="22">
        <f>IF(Data!L165&lt;=QUARTILE(Data!L$4:L$195,1),1,IF(Data!L165&lt;=MEDIAN(Data!L$4:L$195),2,IF(Data!L165&lt;=QUARTILE(Data!L$4:L$195,3),3,4)))</f>
        <v>2</v>
      </c>
      <c r="M165" s="28">
        <f>IF(Data!M165&lt;=QUARTILE(Data!M$4:M$195,1),1,IF(Data!M165&lt;=MEDIAN(Data!M$4:M$195),2,IF(Data!M165&lt;=QUARTILE(Data!M$4:M$195,3),3,4)))</f>
        <v>1</v>
      </c>
      <c r="N165" s="28">
        <f>IF(Data!N165&lt;=QUARTILE(Data!N$4:N$195,1),1,IF(Data!N165&lt;=MEDIAN(Data!N$4:N$195),2,IF(Data!N165&lt;=QUARTILE(Data!N$4:N$195,3),3,4)))</f>
        <v>1</v>
      </c>
      <c r="O165" s="28">
        <f>IF(Data!O165&lt;=QUARTILE(Data!O$4:O$195,1),1,IF(Data!O165&lt;=MEDIAN(Data!O$4:O$195),2,IF(Data!O165&lt;=QUARTILE(Data!O$4:O$195,3),3,4)))</f>
        <v>1</v>
      </c>
      <c r="P165" s="28">
        <f>IF(Data!P165&lt;=QUARTILE(Data!P$4:P$195,1),1,IF(Data!P165&lt;=MEDIAN(Data!P$4:P$195),2,IF(Data!P165&lt;=QUARTILE(Data!P$4:P$195,3),3,4)))</f>
        <v>1</v>
      </c>
      <c r="Q165" s="28">
        <f>IF(Data!Q165&lt;=QUARTILE(Data!Q$4:Q$195,1),1,IF(Data!Q165&lt;=MEDIAN(Data!Q$4:Q$195),2,IF(Data!Q165&lt;=QUARTILE(Data!Q$4:Q$195,3),3,4)))</f>
        <v>1</v>
      </c>
      <c r="R165" s="28">
        <f>IF(Data!R165&lt;=QUARTILE(Data!R$4:R$195,1),1,IF(Data!R165&lt;=MEDIAN(Data!R$4:R$195),2,IF(Data!R165&lt;=QUARTILE(Data!R$4:R$195,3),3,4)))</f>
        <v>1</v>
      </c>
      <c r="S165" s="28">
        <f>IF(Data!S165&lt;=QUARTILE(Data!S$4:S$195,1),1,IF(Data!S165&lt;=MEDIAN(Data!S$4:S$195),2,IF(Data!S165&lt;=QUARTILE(Data!S$4:S$195,3),3,4)))</f>
        <v>4</v>
      </c>
      <c r="T165" s="22">
        <f>IF(Data!T165&lt;=QUARTILE(Data!T$4:T$195,1),1,IF(Data!T165&lt;=MEDIAN(Data!T$4:T$195),2,IF(Data!T165&lt;=QUARTILE(Data!T$4:T$195,3),3,4)))</f>
        <v>3</v>
      </c>
      <c r="U165" s="25">
        <f>IF(Data!U165&lt;=QUARTILE(Data!U$4:U$195,1),1,IF(Data!U165&lt;=MEDIAN(Data!U$4:U$195),2,IF(Data!U165&lt;=QUARTILE(Data!U$4:U$195,3),3,4)))</f>
        <v>4</v>
      </c>
      <c r="V165" s="28">
        <f>IF(Data!V165&lt;=QUARTILE(Data!V$4:V$195,1),1,IF(Data!V165&lt;=MEDIAN(Data!V$4:V$195),2,IF(Data!V165&lt;=QUARTILE(Data!V$4:V$195,3),3,4)))</f>
        <v>4</v>
      </c>
      <c r="W165" s="28">
        <f>IF(Data!W165&lt;=QUARTILE(Data!W$4:W$195,1),1,IF(Data!W165&lt;=MEDIAN(Data!W$4:W$195),2,IF(Data!W165&lt;=QUARTILE(Data!W$4:W$195,3),3,4)))</f>
        <v>4</v>
      </c>
      <c r="X165" s="22">
        <f>IF(Data!X165&lt;=QUARTILE(Data!X$4:X$195,1),1,IF(Data!X165&lt;=MEDIAN(Data!X$4:X$195),2,IF(Data!X165&lt;=QUARTILE(Data!X$4:X$195,3),3,4)))</f>
        <v>4</v>
      </c>
      <c r="Y165" s="33">
        <f>IF(Data!Y165&lt;=QUARTILE(Data!Y$4:Y$195,1),1,IF(Data!Y165&lt;=MEDIAN(Data!Y$4:Y$195),2,IF(Data!Y165&lt;=QUARTILE(Data!Y$4:Y$195,3),3,4)))</f>
        <v>2</v>
      </c>
      <c r="Z165" s="34">
        <f>IF(Data!Z165&lt;=QUARTILE(Data!Z$4:Z$195,1),1,IF(Data!Z165&lt;=MEDIAN(Data!Z$4:Z$195),2,IF(Data!Z165&lt;=QUARTILE(Data!Z$4:Z$195,3),3,4)))</f>
        <v>3</v>
      </c>
      <c r="AA165" s="25">
        <f>IF(Data!AA165&lt;=QUARTILE(Data!AA$4:AA$195,1),1,IF(Data!AA165&lt;=MEDIAN(Data!AA$4:AA$195),2,IF(Data!AA165&lt;=QUARTILE(Data!AA$4:AA$195,3),3,4)))</f>
        <v>3</v>
      </c>
      <c r="AB165" s="22">
        <f>IF(Data!AB165&lt;=QUARTILE(Data!AB$4:AB$195,1),1,IF(Data!AB165&lt;=MEDIAN(Data!AB$4:AB$195),2,IF(Data!AB165&lt;=QUARTILE(Data!AB$4:AB$195,3),3,4)))</f>
        <v>4</v>
      </c>
      <c r="AC165" s="25">
        <f>IF(Data!AC165&lt;=QUARTILE(Data!AC$4:AC$195,1),1,IF(Data!AC165&lt;=MEDIAN(Data!AC$4:AC$195),2,IF(Data!AC165&lt;=QUARTILE(Data!AC$4:AC$195,3),3,4)))</f>
        <v>2</v>
      </c>
      <c r="AD165" s="22">
        <f>IF(Data!AD165&lt;=QUARTILE(Data!AD$4:AD$195,1),1,IF(Data!AD165&lt;=MEDIAN(Data!AD$4:AD$195),2,IF(Data!AD165&lt;=QUARTILE(Data!AD$4:AD$195,3),3,4)))</f>
        <v>2</v>
      </c>
      <c r="AE165" s="28">
        <f>IF(Data!AE165&lt;=QUARTILE(Data!AE$4:AE$195,1),1,IF(Data!AE165&lt;=MEDIAN(Data!AE$4:AE$195),2,IF(Data!AE165&lt;=QUARTILE(Data!AE$4:AE$195,3),3,4)))</f>
        <v>2</v>
      </c>
      <c r="AF165" s="28">
        <f>IF(Data!AF165&lt;=QUARTILE(Data!AF$4:AF$195,1),1,IF(Data!AF165&lt;=MEDIAN(Data!AF$4:AF$195),2,IF(Data!AF165&lt;=QUARTILE(Data!AF$4:AF$195,3),3,4)))</f>
        <v>2</v>
      </c>
      <c r="AG165" s="28">
        <f>IF(Data!AG165&lt;=QUARTILE(Data!AG$4:AG$195,1),1,IF(Data!AG165&lt;=MEDIAN(Data!AG$4:AG$195),2,IF(Data!AG165&lt;=QUARTILE(Data!AG$4:AG$195,3),3,4)))</f>
        <v>1</v>
      </c>
      <c r="AH165" s="22">
        <f>IF(Data!AH165&lt;=QUARTILE(Data!AH$4:AH$195,1),1,IF(Data!AH165&lt;=MEDIAN(Data!AH$4:AH$195),2,IF(Data!AH165&lt;=QUARTILE(Data!AH$4:AH$195,3),3,4)))</f>
        <v>1</v>
      </c>
      <c r="AI165" s="25">
        <f>IF(Data!AI165&lt;=QUARTILE(Data!AI$4:AI$195,1),1,IF(Data!AI165&lt;=MEDIAN(Data!AI$4:AI$195),2,IF(Data!AI165&lt;=QUARTILE(Data!AI$4:AI$195,3),3,4)))</f>
        <v>2</v>
      </c>
      <c r="AJ165" s="22">
        <f>IF(Data!AJ165&lt;=QUARTILE(Data!AJ$4:AJ$195,1),1,IF(Data!AJ165&lt;=MEDIAN(Data!AJ$4:AJ$195),2,IF(Data!AJ165&lt;=QUARTILE(Data!AJ$4:AJ$195,3),3,4)))</f>
        <v>2</v>
      </c>
      <c r="AK165" s="25">
        <f>IF(Data!AK165&lt;=QUARTILE(Data!AK$4:AK$195,1),1,IF(Data!AK165&lt;=MEDIAN(Data!AK$4:AK$195),2,IF(Data!AK165&lt;=QUARTILE(Data!AK$4:AK$195,3),3,4)))</f>
        <v>2</v>
      </c>
      <c r="AL165" s="28">
        <f>IF(Data!AL165&lt;=QUARTILE(Data!AL$4:AL$195,1),1,IF(Data!AL165&lt;=MEDIAN(Data!AL$4:AL$195),2,IF(Data!AL165&lt;=QUARTILE(Data!AL$4:AL$195,3),3,4)))</f>
        <v>2</v>
      </c>
      <c r="AM165" s="28">
        <f>IF(Data!AM165&lt;=QUARTILE(Data!AM$4:AM$195,1),1,IF(Data!AM165&lt;=MEDIAN(Data!AM$4:AM$195),2,IF(Data!AM165&lt;=QUARTILE(Data!AM$4:AM$195,3),3,4)))</f>
        <v>3</v>
      </c>
      <c r="AN165" s="22">
        <f>IF(Data!AN165&lt;=QUARTILE(Data!AN$4:AN$195,1),1,IF(Data!AN165&lt;=MEDIAN(Data!AN$4:AN$195),2,IF(Data!AN165&lt;=QUARTILE(Data!AN$4:AN$195,3),3,4)))</f>
        <v>3</v>
      </c>
      <c r="AO165" s="28">
        <f>IF(Data!AO165&lt;=QUARTILE(Data!AO$4:AO$195,1),1,IF(Data!AO165&lt;=MEDIAN(Data!AO$4:AO$195),2,IF(Data!AO165&lt;=QUARTILE(Data!AO$4:AO$195,3),3,4)))</f>
        <v>3</v>
      </c>
      <c r="AP165" s="28">
        <f>IF(Data!AP165&lt;=QUARTILE(Data!AP$4:AP$195,1),1,IF(Data!AP165&lt;=MEDIAN(Data!AP$4:AP$195),2,IF(Data!AP165&lt;=QUARTILE(Data!AP$4:AP$195,3),3,4)))</f>
        <v>2</v>
      </c>
      <c r="AQ165" s="28">
        <f>IF(Data!AQ165&lt;=QUARTILE(Data!AQ$4:AQ$195,1),1,IF(Data!AQ165&lt;=MEDIAN(Data!AQ$4:AQ$195),2,IF(Data!AQ165&lt;=QUARTILE(Data!AQ$4:AQ$195,3),3,4)))</f>
        <v>3</v>
      </c>
      <c r="AR165" s="28">
        <f>IF(Data!AR165&lt;=QUARTILE(Data!AR$4:AR$195,1),1,IF(Data!AR165&lt;=MEDIAN(Data!AR$4:AR$195),2,IF(Data!AR165&lt;=QUARTILE(Data!AR$4:AR$195,3),3,4)))</f>
        <v>2</v>
      </c>
      <c r="AS165" s="28">
        <f>IF(Data!AS165&lt;=QUARTILE(Data!AS$4:AS$195,1),1,IF(Data!AS165&lt;=MEDIAN(Data!AS$4:AS$195),2,IF(Data!AS165&lt;=QUARTILE(Data!AS$4:AS$195,3),3,4)))</f>
        <v>3</v>
      </c>
      <c r="AT165" s="28">
        <f>IF(Data!AT165&lt;=QUARTILE(Data!AT$4:AT$195,1),1,IF(Data!AT165&lt;=MEDIAN(Data!AT$4:AT$195),2,IF(Data!AT165&lt;=QUARTILE(Data!AT$4:AT$195,3),3,4)))</f>
        <v>4</v>
      </c>
      <c r="AU165" s="22">
        <f>IF(Data!AU165&lt;=QUARTILE(Data!AU$4:AU$195,1),1,IF(Data!AU165&lt;=MEDIAN(Data!AU$4:AU$195),2,IF(Data!AU165&lt;=QUARTILE(Data!AU$4:AU$195,3),3,4)))</f>
        <v>4</v>
      </c>
      <c r="AV165" s="25">
        <f>IF(Data!AV165&lt;=QUARTILE(Data!AV$4:AV$195,1),1,IF(Data!AV165&lt;=MEDIAN(Data!AV$4:AV$195),2,IF(Data!AV165&lt;=QUARTILE(Data!AV$4:AV$195,3),3,4)))</f>
        <v>2</v>
      </c>
      <c r="AW165" s="28">
        <f>IF(Data!AW165&lt;=QUARTILE(Data!AW$4:AW$195,1),1,IF(Data!AW165&lt;=MEDIAN(Data!AW$4:AW$195),2,IF(Data!AW165&lt;=QUARTILE(Data!AW$4:AW$195,3),3,4)))</f>
        <v>2</v>
      </c>
      <c r="AX165" s="28">
        <f>IF(Data!AX165&lt;=QUARTILE(Data!AX$4:AX$195,1),1,IF(Data!AX165&lt;=MEDIAN(Data!AX$4:AX$195),2,IF(Data!AX165&lt;=QUARTILE(Data!AX$4:AX$195,3),3,4)))</f>
        <v>4</v>
      </c>
      <c r="AY165" s="22">
        <f>IF(Data!AY165&lt;=QUARTILE(Data!AY$4:AY$195,1),1,IF(Data!AY165&lt;=MEDIAN(Data!AY$4:AY$195),2,IF(Data!AY165&lt;=QUARTILE(Data!AY$4:AY$195,3),3,4)))</f>
        <v>3</v>
      </c>
      <c r="AZ165" s="25">
        <f>IF(Data!AZ165&lt;=QUARTILE(Data!AZ$4:AZ$195,1),1,IF(Data!AZ165&lt;=MEDIAN(Data!AZ$4:AZ$195),2,IF(Data!AZ165&lt;=QUARTILE(Data!AZ$4:AZ$195,3),3,4)))</f>
        <v>3</v>
      </c>
      <c r="BA165" s="22">
        <f>IF(Data!BA165&lt;=QUARTILE(Data!BA$4:BA$195,1),1,IF(Data!BA165&lt;=MEDIAN(Data!BA$4:BA$195),2,IF(Data!BA165&lt;=QUARTILE(Data!BA$4:BA$195,3),3,4)))</f>
        <v>3</v>
      </c>
    </row>
    <row r="166" spans="1:53" x14ac:dyDescent="0.25">
      <c r="A166" s="4" t="s">
        <v>8</v>
      </c>
      <c r="B166" s="40">
        <v>2004</v>
      </c>
      <c r="C166" s="25">
        <v>9</v>
      </c>
      <c r="D166" s="28">
        <v>7</v>
      </c>
      <c r="E166" s="77" t="s">
        <v>96</v>
      </c>
      <c r="F166" s="28">
        <v>6.1</v>
      </c>
      <c r="G166" s="28">
        <v>-0.6</v>
      </c>
      <c r="H166" s="22">
        <v>6.8</v>
      </c>
      <c r="I166" s="25">
        <f>IF(Data!I166&lt;=QUARTILE(Data!I$4:I$195,1),1,IF(Data!I166&lt;=MEDIAN(Data!I$4:I$195),2,IF(Data!I166&lt;=QUARTILE(Data!I$4:I$195,3),3,4)))</f>
        <v>2</v>
      </c>
      <c r="J166" s="28">
        <f>IF(Data!J166&lt;=QUARTILE(Data!J$4:J$195,1),1,IF(Data!J166&lt;=MEDIAN(Data!J$4:J$195),2,IF(Data!J166&lt;=QUARTILE(Data!J$4:J$195,3),3,4)))</f>
        <v>1</v>
      </c>
      <c r="K166" s="28">
        <f>IF(Data!K166&lt;=QUARTILE(Data!K$4:K$195,1),1,IF(Data!K166&lt;=MEDIAN(Data!K$4:K$195),2,IF(Data!K166&lt;=QUARTILE(Data!K$4:K$195,3),3,4)))</f>
        <v>2</v>
      </c>
      <c r="L166" s="22">
        <f>IF(Data!L166&lt;=QUARTILE(Data!L$4:L$195,1),1,IF(Data!L166&lt;=MEDIAN(Data!L$4:L$195),2,IF(Data!L166&lt;=QUARTILE(Data!L$4:L$195,3),3,4)))</f>
        <v>1</v>
      </c>
      <c r="M166" s="28">
        <f>IF(Data!M166&lt;=QUARTILE(Data!M$4:M$195,1),1,IF(Data!M166&lt;=MEDIAN(Data!M$4:M$195),2,IF(Data!M166&lt;=QUARTILE(Data!M$4:M$195,3),3,4)))</f>
        <v>1</v>
      </c>
      <c r="N166" s="28">
        <f>IF(Data!N166&lt;=QUARTILE(Data!N$4:N$195,1),1,IF(Data!N166&lt;=MEDIAN(Data!N$4:N$195),2,IF(Data!N166&lt;=QUARTILE(Data!N$4:N$195,3),3,4)))</f>
        <v>1</v>
      </c>
      <c r="O166" s="28">
        <f>IF(Data!O166&lt;=QUARTILE(Data!O$4:O$195,1),1,IF(Data!O166&lt;=MEDIAN(Data!O$4:O$195),2,IF(Data!O166&lt;=QUARTILE(Data!O$4:O$195,3),3,4)))</f>
        <v>1</v>
      </c>
      <c r="P166" s="28">
        <f>IF(Data!P166&lt;=QUARTILE(Data!P$4:P$195,1),1,IF(Data!P166&lt;=MEDIAN(Data!P$4:P$195),2,IF(Data!P166&lt;=QUARTILE(Data!P$4:P$195,3),3,4)))</f>
        <v>1</v>
      </c>
      <c r="Q166" s="28">
        <f>IF(Data!Q166&lt;=QUARTILE(Data!Q$4:Q$195,1),1,IF(Data!Q166&lt;=MEDIAN(Data!Q$4:Q$195),2,IF(Data!Q166&lt;=QUARTILE(Data!Q$4:Q$195,3),3,4)))</f>
        <v>1</v>
      </c>
      <c r="R166" s="28">
        <f>IF(Data!R166&lt;=QUARTILE(Data!R$4:R$195,1),1,IF(Data!R166&lt;=MEDIAN(Data!R$4:R$195),2,IF(Data!R166&lt;=QUARTILE(Data!R$4:R$195,3),3,4)))</f>
        <v>1</v>
      </c>
      <c r="S166" s="28">
        <f>IF(Data!S166&lt;=QUARTILE(Data!S$4:S$195,1),1,IF(Data!S166&lt;=MEDIAN(Data!S$4:S$195),2,IF(Data!S166&lt;=QUARTILE(Data!S$4:S$195,3),3,4)))</f>
        <v>3</v>
      </c>
      <c r="T166" s="22">
        <f>IF(Data!T166&lt;=QUARTILE(Data!T$4:T$195,1),1,IF(Data!T166&lt;=MEDIAN(Data!T$4:T$195),2,IF(Data!T166&lt;=QUARTILE(Data!T$4:T$195,3),3,4)))</f>
        <v>3</v>
      </c>
      <c r="U166" s="25">
        <f>IF(Data!U166&lt;=QUARTILE(Data!U$4:U$195,1),1,IF(Data!U166&lt;=MEDIAN(Data!U$4:U$195),2,IF(Data!U166&lt;=QUARTILE(Data!U$4:U$195,3),3,4)))</f>
        <v>4</v>
      </c>
      <c r="V166" s="28">
        <f>IF(Data!V166&lt;=QUARTILE(Data!V$4:V$195,1),1,IF(Data!V166&lt;=MEDIAN(Data!V$4:V$195),2,IF(Data!V166&lt;=QUARTILE(Data!V$4:V$195,3),3,4)))</f>
        <v>3</v>
      </c>
      <c r="W166" s="28">
        <f>IF(Data!W166&lt;=QUARTILE(Data!W$4:W$195,1),1,IF(Data!W166&lt;=MEDIAN(Data!W$4:W$195),2,IF(Data!W166&lt;=QUARTILE(Data!W$4:W$195,3),3,4)))</f>
        <v>2</v>
      </c>
      <c r="X166" s="22">
        <f>IF(Data!X166&lt;=QUARTILE(Data!X$4:X$195,1),1,IF(Data!X166&lt;=MEDIAN(Data!X$4:X$195),2,IF(Data!X166&lt;=QUARTILE(Data!X$4:X$195,3),3,4)))</f>
        <v>3</v>
      </c>
      <c r="Y166" s="33">
        <f>IF(Data!Y166&lt;=QUARTILE(Data!Y$4:Y$195,1),1,IF(Data!Y166&lt;=MEDIAN(Data!Y$4:Y$195),2,IF(Data!Y166&lt;=QUARTILE(Data!Y$4:Y$195,3),3,4)))</f>
        <v>1</v>
      </c>
      <c r="Z166" s="34">
        <f>IF(Data!Z166&lt;=QUARTILE(Data!Z$4:Z$195,1),1,IF(Data!Z166&lt;=MEDIAN(Data!Z$4:Z$195),2,IF(Data!Z166&lt;=QUARTILE(Data!Z$4:Z$195,3),3,4)))</f>
        <v>2</v>
      </c>
      <c r="AA166" s="25">
        <f>IF(Data!AA166&lt;=QUARTILE(Data!AA$4:AA$195,1),1,IF(Data!AA166&lt;=MEDIAN(Data!AA$4:AA$195),2,IF(Data!AA166&lt;=QUARTILE(Data!AA$4:AA$195,3),3,4)))</f>
        <v>4</v>
      </c>
      <c r="AB166" s="22">
        <f>IF(Data!AB166&lt;=QUARTILE(Data!AB$4:AB$195,1),1,IF(Data!AB166&lt;=MEDIAN(Data!AB$4:AB$195),2,IF(Data!AB166&lt;=QUARTILE(Data!AB$4:AB$195,3),3,4)))</f>
        <v>4</v>
      </c>
      <c r="AC166" s="25">
        <f>IF(Data!AC166&lt;=QUARTILE(Data!AC$4:AC$195,1),1,IF(Data!AC166&lt;=MEDIAN(Data!AC$4:AC$195),2,IF(Data!AC166&lt;=QUARTILE(Data!AC$4:AC$195,3),3,4)))</f>
        <v>2</v>
      </c>
      <c r="AD166" s="22">
        <f>IF(Data!AD166&lt;=QUARTILE(Data!AD$4:AD$195,1),1,IF(Data!AD166&lt;=MEDIAN(Data!AD$4:AD$195),2,IF(Data!AD166&lt;=QUARTILE(Data!AD$4:AD$195,3),3,4)))</f>
        <v>1</v>
      </c>
      <c r="AE166" s="28">
        <f>IF(Data!AE166&lt;=QUARTILE(Data!AE$4:AE$195,1),1,IF(Data!AE166&lt;=MEDIAN(Data!AE$4:AE$195),2,IF(Data!AE166&lt;=QUARTILE(Data!AE$4:AE$195,3),3,4)))</f>
        <v>3</v>
      </c>
      <c r="AF166" s="28">
        <f>IF(Data!AF166&lt;=QUARTILE(Data!AF$4:AF$195,1),1,IF(Data!AF166&lt;=MEDIAN(Data!AF$4:AF$195),2,IF(Data!AF166&lt;=QUARTILE(Data!AF$4:AF$195,3),3,4)))</f>
        <v>3</v>
      </c>
      <c r="AG166" s="28">
        <f>IF(Data!AG166&lt;=QUARTILE(Data!AG$4:AG$195,1),1,IF(Data!AG166&lt;=MEDIAN(Data!AG$4:AG$195),2,IF(Data!AG166&lt;=QUARTILE(Data!AG$4:AG$195,3),3,4)))</f>
        <v>3</v>
      </c>
      <c r="AH166" s="22">
        <f>IF(Data!AH166&lt;=QUARTILE(Data!AH$4:AH$195,1),1,IF(Data!AH166&lt;=MEDIAN(Data!AH$4:AH$195),2,IF(Data!AH166&lt;=QUARTILE(Data!AH$4:AH$195,3),3,4)))</f>
        <v>4</v>
      </c>
      <c r="AI166" s="25">
        <f>IF(Data!AI166&lt;=QUARTILE(Data!AI$4:AI$195,1),1,IF(Data!AI166&lt;=MEDIAN(Data!AI$4:AI$195),2,IF(Data!AI166&lt;=QUARTILE(Data!AI$4:AI$195,3),3,4)))</f>
        <v>4</v>
      </c>
      <c r="AJ166" s="22">
        <f>IF(Data!AJ166&lt;=QUARTILE(Data!AJ$4:AJ$195,1),1,IF(Data!AJ166&lt;=MEDIAN(Data!AJ$4:AJ$195),2,IF(Data!AJ166&lt;=QUARTILE(Data!AJ$4:AJ$195,3),3,4)))</f>
        <v>4</v>
      </c>
      <c r="AK166" s="25">
        <f>IF(Data!AK166&lt;=QUARTILE(Data!AK$4:AK$195,1),1,IF(Data!AK166&lt;=MEDIAN(Data!AK$4:AK$195),2,IF(Data!AK166&lt;=QUARTILE(Data!AK$4:AK$195,3),3,4)))</f>
        <v>1</v>
      </c>
      <c r="AL166" s="28">
        <f>IF(Data!AL166&lt;=QUARTILE(Data!AL$4:AL$195,1),1,IF(Data!AL166&lt;=MEDIAN(Data!AL$4:AL$195),2,IF(Data!AL166&lt;=QUARTILE(Data!AL$4:AL$195,3),3,4)))</f>
        <v>1</v>
      </c>
      <c r="AM166" s="28">
        <f>IF(Data!AM166&lt;=QUARTILE(Data!AM$4:AM$195,1),1,IF(Data!AM166&lt;=MEDIAN(Data!AM$4:AM$195),2,IF(Data!AM166&lt;=QUARTILE(Data!AM$4:AM$195,3),3,4)))</f>
        <v>3</v>
      </c>
      <c r="AN166" s="22">
        <f>IF(Data!AN166&lt;=QUARTILE(Data!AN$4:AN$195,1),1,IF(Data!AN166&lt;=MEDIAN(Data!AN$4:AN$195),2,IF(Data!AN166&lt;=QUARTILE(Data!AN$4:AN$195,3),3,4)))</f>
        <v>1</v>
      </c>
      <c r="AO166" s="28">
        <f>IF(Data!AO166&lt;=QUARTILE(Data!AO$4:AO$195,1),1,IF(Data!AO166&lt;=MEDIAN(Data!AO$4:AO$195),2,IF(Data!AO166&lt;=QUARTILE(Data!AO$4:AO$195,3),3,4)))</f>
        <v>1</v>
      </c>
      <c r="AP166" s="28">
        <f>IF(Data!AP166&lt;=QUARTILE(Data!AP$4:AP$195,1),1,IF(Data!AP166&lt;=MEDIAN(Data!AP$4:AP$195),2,IF(Data!AP166&lt;=QUARTILE(Data!AP$4:AP$195,3),3,4)))</f>
        <v>2</v>
      </c>
      <c r="AQ166" s="28">
        <f>IF(Data!AQ166&lt;=QUARTILE(Data!AQ$4:AQ$195,1),1,IF(Data!AQ166&lt;=MEDIAN(Data!AQ$4:AQ$195),2,IF(Data!AQ166&lt;=QUARTILE(Data!AQ$4:AQ$195,3),3,4)))</f>
        <v>2</v>
      </c>
      <c r="AR166" s="28">
        <f>IF(Data!AR166&lt;=QUARTILE(Data!AR$4:AR$195,1),1,IF(Data!AR166&lt;=MEDIAN(Data!AR$4:AR$195),2,IF(Data!AR166&lt;=QUARTILE(Data!AR$4:AR$195,3),3,4)))</f>
        <v>1</v>
      </c>
      <c r="AS166" s="28">
        <f>IF(Data!AS166&lt;=QUARTILE(Data!AS$4:AS$195,1),1,IF(Data!AS166&lt;=MEDIAN(Data!AS$4:AS$195),2,IF(Data!AS166&lt;=QUARTILE(Data!AS$4:AS$195,3),3,4)))</f>
        <v>1</v>
      </c>
      <c r="AT166" s="28">
        <f>IF(Data!AT166&lt;=QUARTILE(Data!AT$4:AT$195,1),1,IF(Data!AT166&lt;=MEDIAN(Data!AT$4:AT$195),2,IF(Data!AT166&lt;=QUARTILE(Data!AT$4:AT$195,3),3,4)))</f>
        <v>3</v>
      </c>
      <c r="AU166" s="22">
        <f>IF(Data!AU166&lt;=QUARTILE(Data!AU$4:AU$195,1),1,IF(Data!AU166&lt;=MEDIAN(Data!AU$4:AU$195),2,IF(Data!AU166&lt;=QUARTILE(Data!AU$4:AU$195,3),3,4)))</f>
        <v>4</v>
      </c>
      <c r="AV166" s="25">
        <f>IF(Data!AV166&lt;=QUARTILE(Data!AV$4:AV$195,1),1,IF(Data!AV166&lt;=MEDIAN(Data!AV$4:AV$195),2,IF(Data!AV166&lt;=QUARTILE(Data!AV$4:AV$195,3),3,4)))</f>
        <v>3</v>
      </c>
      <c r="AW166" s="28">
        <f>IF(Data!AW166&lt;=QUARTILE(Data!AW$4:AW$195,1),1,IF(Data!AW166&lt;=MEDIAN(Data!AW$4:AW$195),2,IF(Data!AW166&lt;=QUARTILE(Data!AW$4:AW$195,3),3,4)))</f>
        <v>2</v>
      </c>
      <c r="AX166" s="28">
        <f>IF(Data!AX166&lt;=QUARTILE(Data!AX$4:AX$195,1),1,IF(Data!AX166&lt;=MEDIAN(Data!AX$4:AX$195),2,IF(Data!AX166&lt;=QUARTILE(Data!AX$4:AX$195,3),3,4)))</f>
        <v>1</v>
      </c>
      <c r="AY166" s="22">
        <f>IF(Data!AY166&lt;=QUARTILE(Data!AY$4:AY$195,1),1,IF(Data!AY166&lt;=MEDIAN(Data!AY$4:AY$195),2,IF(Data!AY166&lt;=QUARTILE(Data!AY$4:AY$195,3),3,4)))</f>
        <v>2</v>
      </c>
      <c r="AZ166" s="25">
        <f>IF(Data!AZ166&lt;=QUARTILE(Data!AZ$4:AZ$195,1),1,IF(Data!AZ166&lt;=MEDIAN(Data!AZ$4:AZ$195),2,IF(Data!AZ166&lt;=QUARTILE(Data!AZ$4:AZ$195,3),3,4)))</f>
        <v>4</v>
      </c>
      <c r="BA166" s="22">
        <f>IF(Data!BA166&lt;=QUARTILE(Data!BA$4:BA$195,1),1,IF(Data!BA166&lt;=MEDIAN(Data!BA$4:BA$195),2,IF(Data!BA166&lt;=QUARTILE(Data!BA$4:BA$195,3),3,4)))</f>
        <v>3</v>
      </c>
    </row>
    <row r="167" spans="1:53" x14ac:dyDescent="0.25">
      <c r="A167" s="4" t="s">
        <v>6</v>
      </c>
      <c r="B167" s="40">
        <v>2004</v>
      </c>
      <c r="C167" s="25">
        <v>9</v>
      </c>
      <c r="D167" s="28">
        <v>7</v>
      </c>
      <c r="E167" s="77" t="s">
        <v>96</v>
      </c>
      <c r="F167" s="28">
        <v>8.1</v>
      </c>
      <c r="G167" s="28">
        <v>4.5999999999999996</v>
      </c>
      <c r="H167" s="22">
        <v>3.5</v>
      </c>
      <c r="I167" s="25">
        <f>IF(Data!I167&lt;=QUARTILE(Data!I$4:I$195,1),1,IF(Data!I167&lt;=MEDIAN(Data!I$4:I$195),2,IF(Data!I167&lt;=QUARTILE(Data!I$4:I$195,3),3,4)))</f>
        <v>4</v>
      </c>
      <c r="J167" s="28">
        <f>IF(Data!J167&lt;=QUARTILE(Data!J$4:J$195,1),1,IF(Data!J167&lt;=MEDIAN(Data!J$4:J$195),2,IF(Data!J167&lt;=QUARTILE(Data!J$4:J$195,3),3,4)))</f>
        <v>1</v>
      </c>
      <c r="K167" s="28">
        <f>IF(Data!K167&lt;=QUARTILE(Data!K$4:K$195,1),1,IF(Data!K167&lt;=MEDIAN(Data!K$4:K$195),2,IF(Data!K167&lt;=QUARTILE(Data!K$4:K$195,3),3,4)))</f>
        <v>2</v>
      </c>
      <c r="L167" s="22">
        <f>IF(Data!L167&lt;=QUARTILE(Data!L$4:L$195,1),1,IF(Data!L167&lt;=MEDIAN(Data!L$4:L$195),2,IF(Data!L167&lt;=QUARTILE(Data!L$4:L$195,3),3,4)))</f>
        <v>1</v>
      </c>
      <c r="M167" s="28">
        <f>IF(Data!M167&lt;=QUARTILE(Data!M$4:M$195,1),1,IF(Data!M167&lt;=MEDIAN(Data!M$4:M$195),2,IF(Data!M167&lt;=QUARTILE(Data!M$4:M$195,3),3,4)))</f>
        <v>1</v>
      </c>
      <c r="N167" s="28">
        <f>IF(Data!N167&lt;=QUARTILE(Data!N$4:N$195,1),1,IF(Data!N167&lt;=MEDIAN(Data!N$4:N$195),2,IF(Data!N167&lt;=QUARTILE(Data!N$4:N$195,3),3,4)))</f>
        <v>1</v>
      </c>
      <c r="O167" s="28">
        <f>IF(Data!O167&lt;=QUARTILE(Data!O$4:O$195,1),1,IF(Data!O167&lt;=MEDIAN(Data!O$4:O$195),2,IF(Data!O167&lt;=QUARTILE(Data!O$4:O$195,3),3,4)))</f>
        <v>1</v>
      </c>
      <c r="P167" s="28">
        <f>IF(Data!P167&lt;=QUARTILE(Data!P$4:P$195,1),1,IF(Data!P167&lt;=MEDIAN(Data!P$4:P$195),2,IF(Data!P167&lt;=QUARTILE(Data!P$4:P$195,3),3,4)))</f>
        <v>2</v>
      </c>
      <c r="Q167" s="28">
        <f>IF(Data!Q167&lt;=QUARTILE(Data!Q$4:Q$195,1),1,IF(Data!Q167&lt;=MEDIAN(Data!Q$4:Q$195),2,IF(Data!Q167&lt;=QUARTILE(Data!Q$4:Q$195,3),3,4)))</f>
        <v>1</v>
      </c>
      <c r="R167" s="28">
        <f>IF(Data!R167&lt;=QUARTILE(Data!R$4:R$195,1),1,IF(Data!R167&lt;=MEDIAN(Data!R$4:R$195),2,IF(Data!R167&lt;=QUARTILE(Data!R$4:R$195,3),3,4)))</f>
        <v>2</v>
      </c>
      <c r="S167" s="28">
        <f>IF(Data!S167&lt;=QUARTILE(Data!S$4:S$195,1),1,IF(Data!S167&lt;=MEDIAN(Data!S$4:S$195),2,IF(Data!S167&lt;=QUARTILE(Data!S$4:S$195,3),3,4)))</f>
        <v>3</v>
      </c>
      <c r="T167" s="22">
        <f>IF(Data!T167&lt;=QUARTILE(Data!T$4:T$195,1),1,IF(Data!T167&lt;=MEDIAN(Data!T$4:T$195),2,IF(Data!T167&lt;=QUARTILE(Data!T$4:T$195,3),3,4)))</f>
        <v>2</v>
      </c>
      <c r="U167" s="25">
        <f>IF(Data!U167&lt;=QUARTILE(Data!U$4:U$195,1),1,IF(Data!U167&lt;=MEDIAN(Data!U$4:U$195),2,IF(Data!U167&lt;=QUARTILE(Data!U$4:U$195,3),3,4)))</f>
        <v>3</v>
      </c>
      <c r="V167" s="28">
        <f>IF(Data!V167&lt;=QUARTILE(Data!V$4:V$195,1),1,IF(Data!V167&lt;=MEDIAN(Data!V$4:V$195),2,IF(Data!V167&lt;=QUARTILE(Data!V$4:V$195,3),3,4)))</f>
        <v>3</v>
      </c>
      <c r="W167" s="28">
        <f>IF(Data!W167&lt;=QUARTILE(Data!W$4:W$195,1),1,IF(Data!W167&lt;=MEDIAN(Data!W$4:W$195),2,IF(Data!W167&lt;=QUARTILE(Data!W$4:W$195,3),3,4)))</f>
        <v>3</v>
      </c>
      <c r="X167" s="22">
        <f>IF(Data!X167&lt;=QUARTILE(Data!X$4:X$195,1),1,IF(Data!X167&lt;=MEDIAN(Data!X$4:X$195),2,IF(Data!X167&lt;=QUARTILE(Data!X$4:X$195,3),3,4)))</f>
        <v>3</v>
      </c>
      <c r="Y167" s="33">
        <f>IF(Data!Y167&lt;=QUARTILE(Data!Y$4:Y$195,1),1,IF(Data!Y167&lt;=MEDIAN(Data!Y$4:Y$195),2,IF(Data!Y167&lt;=QUARTILE(Data!Y$4:Y$195,3),3,4)))</f>
        <v>3</v>
      </c>
      <c r="Z167" s="34">
        <f>IF(Data!Z167&lt;=QUARTILE(Data!Z$4:Z$195,1),1,IF(Data!Z167&lt;=MEDIAN(Data!Z$4:Z$195),2,IF(Data!Z167&lt;=QUARTILE(Data!Z$4:Z$195,3),3,4)))</f>
        <v>2</v>
      </c>
      <c r="AA167" s="25">
        <f>IF(Data!AA167&lt;=QUARTILE(Data!AA$4:AA$195,1),1,IF(Data!AA167&lt;=MEDIAN(Data!AA$4:AA$195),2,IF(Data!AA167&lt;=QUARTILE(Data!AA$4:AA$195,3),3,4)))</f>
        <v>4</v>
      </c>
      <c r="AB167" s="22">
        <f>IF(Data!AB167&lt;=QUARTILE(Data!AB$4:AB$195,1),1,IF(Data!AB167&lt;=MEDIAN(Data!AB$4:AB$195),2,IF(Data!AB167&lt;=QUARTILE(Data!AB$4:AB$195,3),3,4)))</f>
        <v>4</v>
      </c>
      <c r="AC167" s="25">
        <f>IF(Data!AC167&lt;=QUARTILE(Data!AC$4:AC$195,1),1,IF(Data!AC167&lt;=MEDIAN(Data!AC$4:AC$195),2,IF(Data!AC167&lt;=QUARTILE(Data!AC$4:AC$195,3),3,4)))</f>
        <v>2</v>
      </c>
      <c r="AD167" s="22">
        <f>IF(Data!AD167&lt;=QUARTILE(Data!AD$4:AD$195,1),1,IF(Data!AD167&lt;=MEDIAN(Data!AD$4:AD$195),2,IF(Data!AD167&lt;=QUARTILE(Data!AD$4:AD$195,3),3,4)))</f>
        <v>3</v>
      </c>
      <c r="AE167" s="28">
        <f>IF(Data!AE167&lt;=QUARTILE(Data!AE$4:AE$195,1),1,IF(Data!AE167&lt;=MEDIAN(Data!AE$4:AE$195),2,IF(Data!AE167&lt;=QUARTILE(Data!AE$4:AE$195,3),3,4)))</f>
        <v>4</v>
      </c>
      <c r="AF167" s="28">
        <f>IF(Data!AF167&lt;=QUARTILE(Data!AF$4:AF$195,1),1,IF(Data!AF167&lt;=MEDIAN(Data!AF$4:AF$195),2,IF(Data!AF167&lt;=QUARTILE(Data!AF$4:AF$195,3),3,4)))</f>
        <v>4</v>
      </c>
      <c r="AG167" s="28">
        <f>IF(Data!AG167&lt;=QUARTILE(Data!AG$4:AG$195,1),1,IF(Data!AG167&lt;=MEDIAN(Data!AG$4:AG$195),2,IF(Data!AG167&lt;=QUARTILE(Data!AG$4:AG$195,3),3,4)))</f>
        <v>1</v>
      </c>
      <c r="AH167" s="22">
        <f>IF(Data!AH167&lt;=QUARTILE(Data!AH$4:AH$195,1),1,IF(Data!AH167&lt;=MEDIAN(Data!AH$4:AH$195),2,IF(Data!AH167&lt;=QUARTILE(Data!AH$4:AH$195,3),3,4)))</f>
        <v>1</v>
      </c>
      <c r="AI167" s="25">
        <f>IF(Data!AI167&lt;=QUARTILE(Data!AI$4:AI$195,1),1,IF(Data!AI167&lt;=MEDIAN(Data!AI$4:AI$195),2,IF(Data!AI167&lt;=QUARTILE(Data!AI$4:AI$195,3),3,4)))</f>
        <v>3</v>
      </c>
      <c r="AJ167" s="22">
        <f>IF(Data!AJ167&lt;=QUARTILE(Data!AJ$4:AJ$195,1),1,IF(Data!AJ167&lt;=MEDIAN(Data!AJ$4:AJ$195),2,IF(Data!AJ167&lt;=QUARTILE(Data!AJ$4:AJ$195,3),3,4)))</f>
        <v>3</v>
      </c>
      <c r="AK167" s="25">
        <f>IF(Data!AK167&lt;=QUARTILE(Data!AK$4:AK$195,1),1,IF(Data!AK167&lt;=MEDIAN(Data!AK$4:AK$195),2,IF(Data!AK167&lt;=QUARTILE(Data!AK$4:AK$195,3),3,4)))</f>
        <v>1</v>
      </c>
      <c r="AL167" s="28">
        <f>IF(Data!AL167&lt;=QUARTILE(Data!AL$4:AL$195,1),1,IF(Data!AL167&lt;=MEDIAN(Data!AL$4:AL$195),2,IF(Data!AL167&lt;=QUARTILE(Data!AL$4:AL$195,3),3,4)))</f>
        <v>1</v>
      </c>
      <c r="AM167" s="28">
        <f>IF(Data!AM167&lt;=QUARTILE(Data!AM$4:AM$195,1),1,IF(Data!AM167&lt;=MEDIAN(Data!AM$4:AM$195),2,IF(Data!AM167&lt;=QUARTILE(Data!AM$4:AM$195,3),3,4)))</f>
        <v>2</v>
      </c>
      <c r="AN167" s="22">
        <f>IF(Data!AN167&lt;=QUARTILE(Data!AN$4:AN$195,1),1,IF(Data!AN167&lt;=MEDIAN(Data!AN$4:AN$195),2,IF(Data!AN167&lt;=QUARTILE(Data!AN$4:AN$195,3),3,4)))</f>
        <v>1</v>
      </c>
      <c r="AO167" s="28">
        <f>IF(Data!AO167&lt;=QUARTILE(Data!AO$4:AO$195,1),1,IF(Data!AO167&lt;=MEDIAN(Data!AO$4:AO$195),2,IF(Data!AO167&lt;=QUARTILE(Data!AO$4:AO$195,3),3,4)))</f>
        <v>1</v>
      </c>
      <c r="AP167" s="28">
        <f>IF(Data!AP167&lt;=QUARTILE(Data!AP$4:AP$195,1),1,IF(Data!AP167&lt;=MEDIAN(Data!AP$4:AP$195),2,IF(Data!AP167&lt;=QUARTILE(Data!AP$4:AP$195,3),3,4)))</f>
        <v>1</v>
      </c>
      <c r="AQ167" s="28">
        <f>IF(Data!AQ167&lt;=QUARTILE(Data!AQ$4:AQ$195,1),1,IF(Data!AQ167&lt;=MEDIAN(Data!AQ$4:AQ$195),2,IF(Data!AQ167&lt;=QUARTILE(Data!AQ$4:AQ$195,3),3,4)))</f>
        <v>1</v>
      </c>
      <c r="AR167" s="28">
        <f>IF(Data!AR167&lt;=QUARTILE(Data!AR$4:AR$195,1),1,IF(Data!AR167&lt;=MEDIAN(Data!AR$4:AR$195),2,IF(Data!AR167&lt;=QUARTILE(Data!AR$4:AR$195,3),3,4)))</f>
        <v>2</v>
      </c>
      <c r="AS167" s="28">
        <f>IF(Data!AS167&lt;=QUARTILE(Data!AS$4:AS$195,1),1,IF(Data!AS167&lt;=MEDIAN(Data!AS$4:AS$195),2,IF(Data!AS167&lt;=QUARTILE(Data!AS$4:AS$195,3),3,4)))</f>
        <v>1</v>
      </c>
      <c r="AT167" s="28">
        <f>IF(Data!AT167&lt;=QUARTILE(Data!AT$4:AT$195,1),1,IF(Data!AT167&lt;=MEDIAN(Data!AT$4:AT$195),2,IF(Data!AT167&lt;=QUARTILE(Data!AT$4:AT$195,3),3,4)))</f>
        <v>4</v>
      </c>
      <c r="AU167" s="22">
        <f>IF(Data!AU167&lt;=QUARTILE(Data!AU$4:AU$195,1),1,IF(Data!AU167&lt;=MEDIAN(Data!AU$4:AU$195),2,IF(Data!AU167&lt;=QUARTILE(Data!AU$4:AU$195,3),3,4)))</f>
        <v>4</v>
      </c>
      <c r="AV167" s="25">
        <f>IF(Data!AV167&lt;=QUARTILE(Data!AV$4:AV$195,1),1,IF(Data!AV167&lt;=MEDIAN(Data!AV$4:AV$195),2,IF(Data!AV167&lt;=QUARTILE(Data!AV$4:AV$195,3),3,4)))</f>
        <v>3</v>
      </c>
      <c r="AW167" s="28">
        <f>IF(Data!AW167&lt;=QUARTILE(Data!AW$4:AW$195,1),1,IF(Data!AW167&lt;=MEDIAN(Data!AW$4:AW$195),2,IF(Data!AW167&lt;=QUARTILE(Data!AW$4:AW$195,3),3,4)))</f>
        <v>2</v>
      </c>
      <c r="AX167" s="28">
        <f>IF(Data!AX167&lt;=QUARTILE(Data!AX$4:AX$195,1),1,IF(Data!AX167&lt;=MEDIAN(Data!AX$4:AX$195),2,IF(Data!AX167&lt;=QUARTILE(Data!AX$4:AX$195,3),3,4)))</f>
        <v>1</v>
      </c>
      <c r="AY167" s="22">
        <f>IF(Data!AY167&lt;=QUARTILE(Data!AY$4:AY$195,1),1,IF(Data!AY167&lt;=MEDIAN(Data!AY$4:AY$195),2,IF(Data!AY167&lt;=QUARTILE(Data!AY$4:AY$195,3),3,4)))</f>
        <v>1</v>
      </c>
      <c r="AZ167" s="25">
        <f>IF(Data!AZ167&lt;=QUARTILE(Data!AZ$4:AZ$195,1),1,IF(Data!AZ167&lt;=MEDIAN(Data!AZ$4:AZ$195),2,IF(Data!AZ167&lt;=QUARTILE(Data!AZ$4:AZ$195,3),3,4)))</f>
        <v>4</v>
      </c>
      <c r="BA167" s="22">
        <f>IF(Data!BA167&lt;=QUARTILE(Data!BA$4:BA$195,1),1,IF(Data!BA167&lt;=MEDIAN(Data!BA$4:BA$195),2,IF(Data!BA167&lt;=QUARTILE(Data!BA$4:BA$195,3),3,4)))</f>
        <v>4</v>
      </c>
    </row>
    <row r="168" spans="1:53" x14ac:dyDescent="0.25">
      <c r="A168" s="4" t="s">
        <v>29</v>
      </c>
      <c r="B168" s="40">
        <v>2004</v>
      </c>
      <c r="C168" s="25">
        <v>7</v>
      </c>
      <c r="D168" s="28">
        <v>9</v>
      </c>
      <c r="E168" s="77" t="s">
        <v>96</v>
      </c>
      <c r="F168" s="28">
        <v>-0.7</v>
      </c>
      <c r="G168" s="28">
        <v>-0.8</v>
      </c>
      <c r="H168" s="22">
        <v>0.1</v>
      </c>
      <c r="I168" s="25">
        <f>IF(Data!I168&lt;=QUARTILE(Data!I$4:I$195,1),1,IF(Data!I168&lt;=MEDIAN(Data!I$4:I$195),2,IF(Data!I168&lt;=QUARTILE(Data!I$4:I$195,3),3,4)))</f>
        <v>3</v>
      </c>
      <c r="J168" s="28">
        <f>IF(Data!J168&lt;=QUARTILE(Data!J$4:J$195,1),1,IF(Data!J168&lt;=MEDIAN(Data!J$4:J$195),2,IF(Data!J168&lt;=QUARTILE(Data!J$4:J$195,3),3,4)))</f>
        <v>3</v>
      </c>
      <c r="K168" s="28">
        <f>IF(Data!K168&lt;=QUARTILE(Data!K$4:K$195,1),1,IF(Data!K168&lt;=MEDIAN(Data!K$4:K$195),2,IF(Data!K168&lt;=QUARTILE(Data!K$4:K$195,3),3,4)))</f>
        <v>2</v>
      </c>
      <c r="L168" s="22">
        <f>IF(Data!L168&lt;=QUARTILE(Data!L$4:L$195,1),1,IF(Data!L168&lt;=MEDIAN(Data!L$4:L$195),2,IF(Data!L168&lt;=QUARTILE(Data!L$4:L$195,3),3,4)))</f>
        <v>3</v>
      </c>
      <c r="M168" s="28">
        <f>IF(Data!M168&lt;=QUARTILE(Data!M$4:M$195,1),1,IF(Data!M168&lt;=MEDIAN(Data!M$4:M$195),2,IF(Data!M168&lt;=QUARTILE(Data!M$4:M$195,3),3,4)))</f>
        <v>2</v>
      </c>
      <c r="N168" s="28">
        <f>IF(Data!N168&lt;=QUARTILE(Data!N$4:N$195,1),1,IF(Data!N168&lt;=MEDIAN(Data!N$4:N$195),2,IF(Data!N168&lt;=QUARTILE(Data!N$4:N$195,3),3,4)))</f>
        <v>3</v>
      </c>
      <c r="O168" s="28">
        <f>IF(Data!O168&lt;=QUARTILE(Data!O$4:O$195,1),1,IF(Data!O168&lt;=MEDIAN(Data!O$4:O$195),2,IF(Data!O168&lt;=QUARTILE(Data!O$4:O$195,3),3,4)))</f>
        <v>3</v>
      </c>
      <c r="P168" s="28">
        <f>IF(Data!P168&lt;=QUARTILE(Data!P$4:P$195,1),1,IF(Data!P168&lt;=MEDIAN(Data!P$4:P$195),2,IF(Data!P168&lt;=QUARTILE(Data!P$4:P$195,3),3,4)))</f>
        <v>4</v>
      </c>
      <c r="Q168" s="28">
        <f>IF(Data!Q168&lt;=QUARTILE(Data!Q$4:Q$195,1),1,IF(Data!Q168&lt;=MEDIAN(Data!Q$4:Q$195),2,IF(Data!Q168&lt;=QUARTILE(Data!Q$4:Q$195,3),3,4)))</f>
        <v>3</v>
      </c>
      <c r="R168" s="28">
        <f>IF(Data!R168&lt;=QUARTILE(Data!R$4:R$195,1),1,IF(Data!R168&lt;=MEDIAN(Data!R$4:R$195),2,IF(Data!R168&lt;=QUARTILE(Data!R$4:R$195,3),3,4)))</f>
        <v>3</v>
      </c>
      <c r="S168" s="28">
        <f>IF(Data!S168&lt;=QUARTILE(Data!S$4:S$195,1),1,IF(Data!S168&lt;=MEDIAN(Data!S$4:S$195),2,IF(Data!S168&lt;=QUARTILE(Data!S$4:S$195,3),3,4)))</f>
        <v>2</v>
      </c>
      <c r="T168" s="22">
        <f>IF(Data!T168&lt;=QUARTILE(Data!T$4:T$195,1),1,IF(Data!T168&lt;=MEDIAN(Data!T$4:T$195),2,IF(Data!T168&lt;=QUARTILE(Data!T$4:T$195,3),3,4)))</f>
        <v>3</v>
      </c>
      <c r="U168" s="25">
        <f>IF(Data!U168&lt;=QUARTILE(Data!U$4:U$195,1),1,IF(Data!U168&lt;=MEDIAN(Data!U$4:U$195),2,IF(Data!U168&lt;=QUARTILE(Data!U$4:U$195,3),3,4)))</f>
        <v>2</v>
      </c>
      <c r="V168" s="28">
        <f>IF(Data!V168&lt;=QUARTILE(Data!V$4:V$195,1),1,IF(Data!V168&lt;=MEDIAN(Data!V$4:V$195),2,IF(Data!V168&lt;=QUARTILE(Data!V$4:V$195,3),3,4)))</f>
        <v>1</v>
      </c>
      <c r="W168" s="28">
        <f>IF(Data!W168&lt;=QUARTILE(Data!W$4:W$195,1),1,IF(Data!W168&lt;=MEDIAN(Data!W$4:W$195),2,IF(Data!W168&lt;=QUARTILE(Data!W$4:W$195,3),3,4)))</f>
        <v>2</v>
      </c>
      <c r="X168" s="22">
        <f>IF(Data!X168&lt;=QUARTILE(Data!X$4:X$195,1),1,IF(Data!X168&lt;=MEDIAN(Data!X$4:X$195),2,IF(Data!X168&lt;=QUARTILE(Data!X$4:X$195,3),3,4)))</f>
        <v>2</v>
      </c>
      <c r="Y168" s="33">
        <f>IF(Data!Y168&lt;=QUARTILE(Data!Y$4:Y$195,1),1,IF(Data!Y168&lt;=MEDIAN(Data!Y$4:Y$195),2,IF(Data!Y168&lt;=QUARTILE(Data!Y$4:Y$195,3),3,4)))</f>
        <v>2</v>
      </c>
      <c r="Z168" s="34">
        <f>IF(Data!Z168&lt;=QUARTILE(Data!Z$4:Z$195,1),1,IF(Data!Z168&lt;=MEDIAN(Data!Z$4:Z$195),2,IF(Data!Z168&lt;=QUARTILE(Data!Z$4:Z$195,3),3,4)))</f>
        <v>2</v>
      </c>
      <c r="AA168" s="25">
        <f>IF(Data!AA168&lt;=QUARTILE(Data!AA$4:AA$195,1),1,IF(Data!AA168&lt;=MEDIAN(Data!AA$4:AA$195),2,IF(Data!AA168&lt;=QUARTILE(Data!AA$4:AA$195,3),3,4)))</f>
        <v>1</v>
      </c>
      <c r="AB168" s="22">
        <f>IF(Data!AB168&lt;=QUARTILE(Data!AB$4:AB$195,1),1,IF(Data!AB168&lt;=MEDIAN(Data!AB$4:AB$195),2,IF(Data!AB168&lt;=QUARTILE(Data!AB$4:AB$195,3),3,4)))</f>
        <v>1</v>
      </c>
      <c r="AC168" s="25">
        <f>IF(Data!AC168&lt;=QUARTILE(Data!AC$4:AC$195,1),1,IF(Data!AC168&lt;=MEDIAN(Data!AC$4:AC$195),2,IF(Data!AC168&lt;=QUARTILE(Data!AC$4:AC$195,3),3,4)))</f>
        <v>2</v>
      </c>
      <c r="AD168" s="22">
        <f>IF(Data!AD168&lt;=QUARTILE(Data!AD$4:AD$195,1),1,IF(Data!AD168&lt;=MEDIAN(Data!AD$4:AD$195),2,IF(Data!AD168&lt;=QUARTILE(Data!AD$4:AD$195,3),3,4)))</f>
        <v>2</v>
      </c>
      <c r="AE168" s="28">
        <f>IF(Data!AE168&lt;=QUARTILE(Data!AE$4:AE$195,1),1,IF(Data!AE168&lt;=MEDIAN(Data!AE$4:AE$195),2,IF(Data!AE168&lt;=QUARTILE(Data!AE$4:AE$195,3),3,4)))</f>
        <v>2</v>
      </c>
      <c r="AF168" s="28">
        <f>IF(Data!AF168&lt;=QUARTILE(Data!AF$4:AF$195,1),1,IF(Data!AF168&lt;=MEDIAN(Data!AF$4:AF$195),2,IF(Data!AF168&lt;=QUARTILE(Data!AF$4:AF$195,3),3,4)))</f>
        <v>2</v>
      </c>
      <c r="AG168" s="28">
        <f>IF(Data!AG168&lt;=QUARTILE(Data!AG$4:AG$195,1),1,IF(Data!AG168&lt;=MEDIAN(Data!AG$4:AG$195),2,IF(Data!AG168&lt;=QUARTILE(Data!AG$4:AG$195,3),3,4)))</f>
        <v>1</v>
      </c>
      <c r="AH168" s="22">
        <f>IF(Data!AH168&lt;=QUARTILE(Data!AH$4:AH$195,1),1,IF(Data!AH168&lt;=MEDIAN(Data!AH$4:AH$195),2,IF(Data!AH168&lt;=QUARTILE(Data!AH$4:AH$195,3),3,4)))</f>
        <v>1</v>
      </c>
      <c r="AI168" s="25">
        <f>IF(Data!AI168&lt;=QUARTILE(Data!AI$4:AI$195,1),1,IF(Data!AI168&lt;=MEDIAN(Data!AI$4:AI$195),2,IF(Data!AI168&lt;=QUARTILE(Data!AI$4:AI$195,3),3,4)))</f>
        <v>3</v>
      </c>
      <c r="AJ168" s="22">
        <f>IF(Data!AJ168&lt;=QUARTILE(Data!AJ$4:AJ$195,1),1,IF(Data!AJ168&lt;=MEDIAN(Data!AJ$4:AJ$195),2,IF(Data!AJ168&lt;=QUARTILE(Data!AJ$4:AJ$195,3),3,4)))</f>
        <v>3</v>
      </c>
      <c r="AK168" s="25">
        <f>IF(Data!AK168&lt;=QUARTILE(Data!AK$4:AK$195,1),1,IF(Data!AK168&lt;=MEDIAN(Data!AK$4:AK$195),2,IF(Data!AK168&lt;=QUARTILE(Data!AK$4:AK$195,3),3,4)))</f>
        <v>2</v>
      </c>
      <c r="AL168" s="28">
        <f>IF(Data!AL168&lt;=QUARTILE(Data!AL$4:AL$195,1),1,IF(Data!AL168&lt;=MEDIAN(Data!AL$4:AL$195),2,IF(Data!AL168&lt;=QUARTILE(Data!AL$4:AL$195,3),3,4)))</f>
        <v>3</v>
      </c>
      <c r="AM168" s="28">
        <f>IF(Data!AM168&lt;=QUARTILE(Data!AM$4:AM$195,1),1,IF(Data!AM168&lt;=MEDIAN(Data!AM$4:AM$195),2,IF(Data!AM168&lt;=QUARTILE(Data!AM$4:AM$195,3),3,4)))</f>
        <v>3</v>
      </c>
      <c r="AN168" s="22">
        <f>IF(Data!AN168&lt;=QUARTILE(Data!AN$4:AN$195,1),1,IF(Data!AN168&lt;=MEDIAN(Data!AN$4:AN$195),2,IF(Data!AN168&lt;=QUARTILE(Data!AN$4:AN$195,3),3,4)))</f>
        <v>3</v>
      </c>
      <c r="AO168" s="28">
        <f>IF(Data!AO168&lt;=QUARTILE(Data!AO$4:AO$195,1),1,IF(Data!AO168&lt;=MEDIAN(Data!AO$4:AO$195),2,IF(Data!AO168&lt;=QUARTILE(Data!AO$4:AO$195,3),3,4)))</f>
        <v>2</v>
      </c>
      <c r="AP168" s="28">
        <f>IF(Data!AP168&lt;=QUARTILE(Data!AP$4:AP$195,1),1,IF(Data!AP168&lt;=MEDIAN(Data!AP$4:AP$195),2,IF(Data!AP168&lt;=QUARTILE(Data!AP$4:AP$195,3),3,4)))</f>
        <v>2</v>
      </c>
      <c r="AQ168" s="28">
        <f>IF(Data!AQ168&lt;=QUARTILE(Data!AQ$4:AQ$195,1),1,IF(Data!AQ168&lt;=MEDIAN(Data!AQ$4:AQ$195),2,IF(Data!AQ168&lt;=QUARTILE(Data!AQ$4:AQ$195,3),3,4)))</f>
        <v>3</v>
      </c>
      <c r="AR168" s="28">
        <f>IF(Data!AR168&lt;=QUARTILE(Data!AR$4:AR$195,1),1,IF(Data!AR168&lt;=MEDIAN(Data!AR$4:AR$195),2,IF(Data!AR168&lt;=QUARTILE(Data!AR$4:AR$195,3),3,4)))</f>
        <v>1</v>
      </c>
      <c r="AS168" s="28">
        <f>IF(Data!AS168&lt;=QUARTILE(Data!AS$4:AS$195,1),1,IF(Data!AS168&lt;=MEDIAN(Data!AS$4:AS$195),2,IF(Data!AS168&lt;=QUARTILE(Data!AS$4:AS$195,3),3,4)))</f>
        <v>3</v>
      </c>
      <c r="AT168" s="28">
        <f>IF(Data!AT168&lt;=QUARTILE(Data!AT$4:AT$195,1),1,IF(Data!AT168&lt;=MEDIAN(Data!AT$4:AT$195),2,IF(Data!AT168&lt;=QUARTILE(Data!AT$4:AT$195,3),3,4)))</f>
        <v>2</v>
      </c>
      <c r="AU168" s="22">
        <f>IF(Data!AU168&lt;=QUARTILE(Data!AU$4:AU$195,1),1,IF(Data!AU168&lt;=MEDIAN(Data!AU$4:AU$195),2,IF(Data!AU168&lt;=QUARTILE(Data!AU$4:AU$195,3),3,4)))</f>
        <v>3</v>
      </c>
      <c r="AV168" s="25">
        <f>IF(Data!AV168&lt;=QUARTILE(Data!AV$4:AV$195,1),1,IF(Data!AV168&lt;=MEDIAN(Data!AV$4:AV$195),2,IF(Data!AV168&lt;=QUARTILE(Data!AV$4:AV$195,3),3,4)))</f>
        <v>3</v>
      </c>
      <c r="AW168" s="28">
        <f>IF(Data!AW168&lt;=QUARTILE(Data!AW$4:AW$195,1),1,IF(Data!AW168&lt;=MEDIAN(Data!AW$4:AW$195),2,IF(Data!AW168&lt;=QUARTILE(Data!AW$4:AW$195,3),3,4)))</f>
        <v>3</v>
      </c>
      <c r="AX168" s="28">
        <f>IF(Data!AX168&lt;=QUARTILE(Data!AX$4:AX$195,1),1,IF(Data!AX168&lt;=MEDIAN(Data!AX$4:AX$195),2,IF(Data!AX168&lt;=QUARTILE(Data!AX$4:AX$195,3),3,4)))</f>
        <v>4</v>
      </c>
      <c r="AY168" s="22">
        <f>IF(Data!AY168&lt;=QUARTILE(Data!AY$4:AY$195,1),1,IF(Data!AY168&lt;=MEDIAN(Data!AY$4:AY$195),2,IF(Data!AY168&lt;=QUARTILE(Data!AY$4:AY$195,3),3,4)))</f>
        <v>2</v>
      </c>
      <c r="AZ168" s="25">
        <f>IF(Data!AZ168&lt;=QUARTILE(Data!AZ$4:AZ$195,1),1,IF(Data!AZ168&lt;=MEDIAN(Data!AZ$4:AZ$195),2,IF(Data!AZ168&lt;=QUARTILE(Data!AZ$4:AZ$195,3),3,4)))</f>
        <v>4</v>
      </c>
      <c r="BA168" s="22">
        <f>IF(Data!BA168&lt;=QUARTILE(Data!BA$4:BA$195,1),1,IF(Data!BA168&lt;=MEDIAN(Data!BA$4:BA$195),2,IF(Data!BA168&lt;=QUARTILE(Data!BA$4:BA$195,3),3,4)))</f>
        <v>3</v>
      </c>
    </row>
    <row r="169" spans="1:53" x14ac:dyDescent="0.25">
      <c r="A169" s="4" t="s">
        <v>25</v>
      </c>
      <c r="B169" s="40">
        <v>2004</v>
      </c>
      <c r="C169" s="25">
        <v>5</v>
      </c>
      <c r="D169" s="28">
        <v>11</v>
      </c>
      <c r="E169" s="77" t="s">
        <v>96</v>
      </c>
      <c r="F169" s="28">
        <v>-8.1999999999999993</v>
      </c>
      <c r="G169" s="28">
        <v>-8.5</v>
      </c>
      <c r="H169" s="22">
        <v>0.3</v>
      </c>
      <c r="I169" s="25">
        <f>IF(Data!I169&lt;=QUARTILE(Data!I$4:I$195,1),1,IF(Data!I169&lt;=MEDIAN(Data!I$4:I$195),2,IF(Data!I169&lt;=QUARTILE(Data!I$4:I$195,3),3,4)))</f>
        <v>1</v>
      </c>
      <c r="J169" s="28">
        <f>IF(Data!J169&lt;=QUARTILE(Data!J$4:J$195,1),1,IF(Data!J169&lt;=MEDIAN(Data!J$4:J$195),2,IF(Data!J169&lt;=QUARTILE(Data!J$4:J$195,3),3,4)))</f>
        <v>1</v>
      </c>
      <c r="K169" s="28">
        <f>IF(Data!K169&lt;=QUARTILE(Data!K$4:K$195,1),1,IF(Data!K169&lt;=MEDIAN(Data!K$4:K$195),2,IF(Data!K169&lt;=QUARTILE(Data!K$4:K$195,3),3,4)))</f>
        <v>1</v>
      </c>
      <c r="L169" s="22">
        <f>IF(Data!L169&lt;=QUARTILE(Data!L$4:L$195,1),1,IF(Data!L169&lt;=MEDIAN(Data!L$4:L$195),2,IF(Data!L169&lt;=QUARTILE(Data!L$4:L$195,3),3,4)))</f>
        <v>1</v>
      </c>
      <c r="M169" s="28">
        <f>IF(Data!M169&lt;=QUARTILE(Data!M$4:M$195,1),1,IF(Data!M169&lt;=MEDIAN(Data!M$4:M$195),2,IF(Data!M169&lt;=QUARTILE(Data!M$4:M$195,3),3,4)))</f>
        <v>1</v>
      </c>
      <c r="N169" s="28">
        <f>IF(Data!N169&lt;=QUARTILE(Data!N$4:N$195,1),1,IF(Data!N169&lt;=MEDIAN(Data!N$4:N$195),2,IF(Data!N169&lt;=QUARTILE(Data!N$4:N$195,3),3,4)))</f>
        <v>1</v>
      </c>
      <c r="O169" s="28">
        <f>IF(Data!O169&lt;=QUARTILE(Data!O$4:O$195,1),1,IF(Data!O169&lt;=MEDIAN(Data!O$4:O$195),2,IF(Data!O169&lt;=QUARTILE(Data!O$4:O$195,3),3,4)))</f>
        <v>1</v>
      </c>
      <c r="P169" s="28">
        <f>IF(Data!P169&lt;=QUARTILE(Data!P$4:P$195,1),1,IF(Data!P169&lt;=MEDIAN(Data!P$4:P$195),2,IF(Data!P169&lt;=QUARTILE(Data!P$4:P$195,3),3,4)))</f>
        <v>1</v>
      </c>
      <c r="Q169" s="28">
        <f>IF(Data!Q169&lt;=QUARTILE(Data!Q$4:Q$195,1),1,IF(Data!Q169&lt;=MEDIAN(Data!Q$4:Q$195),2,IF(Data!Q169&lt;=QUARTILE(Data!Q$4:Q$195,3),3,4)))</f>
        <v>1</v>
      </c>
      <c r="R169" s="28">
        <f>IF(Data!R169&lt;=QUARTILE(Data!R$4:R$195,1),1,IF(Data!R169&lt;=MEDIAN(Data!R$4:R$195),2,IF(Data!R169&lt;=QUARTILE(Data!R$4:R$195,3),3,4)))</f>
        <v>1</v>
      </c>
      <c r="S169" s="28">
        <f>IF(Data!S169&lt;=QUARTILE(Data!S$4:S$195,1),1,IF(Data!S169&lt;=MEDIAN(Data!S$4:S$195),2,IF(Data!S169&lt;=QUARTILE(Data!S$4:S$195,3),3,4)))</f>
        <v>4</v>
      </c>
      <c r="T169" s="22">
        <f>IF(Data!T169&lt;=QUARTILE(Data!T$4:T$195,1),1,IF(Data!T169&lt;=MEDIAN(Data!T$4:T$195),2,IF(Data!T169&lt;=QUARTILE(Data!T$4:T$195,3),3,4)))</f>
        <v>4</v>
      </c>
      <c r="U169" s="25">
        <f>IF(Data!U169&lt;=QUARTILE(Data!U$4:U$195,1),1,IF(Data!U169&lt;=MEDIAN(Data!U$4:U$195),2,IF(Data!U169&lt;=QUARTILE(Data!U$4:U$195,3),3,4)))</f>
        <v>2</v>
      </c>
      <c r="V169" s="28">
        <f>IF(Data!V169&lt;=QUARTILE(Data!V$4:V$195,1),1,IF(Data!V169&lt;=MEDIAN(Data!V$4:V$195),2,IF(Data!V169&lt;=QUARTILE(Data!V$4:V$195,3),3,4)))</f>
        <v>2</v>
      </c>
      <c r="W169" s="28">
        <f>IF(Data!W169&lt;=QUARTILE(Data!W$4:W$195,1),1,IF(Data!W169&lt;=MEDIAN(Data!W$4:W$195),2,IF(Data!W169&lt;=QUARTILE(Data!W$4:W$195,3),3,4)))</f>
        <v>2</v>
      </c>
      <c r="X169" s="22">
        <f>IF(Data!X169&lt;=QUARTILE(Data!X$4:X$195,1),1,IF(Data!X169&lt;=MEDIAN(Data!X$4:X$195),2,IF(Data!X169&lt;=QUARTILE(Data!X$4:X$195,3),3,4)))</f>
        <v>2</v>
      </c>
      <c r="Y169" s="33">
        <f>IF(Data!Y169&lt;=QUARTILE(Data!Y$4:Y$195,1),1,IF(Data!Y169&lt;=MEDIAN(Data!Y$4:Y$195),2,IF(Data!Y169&lt;=QUARTILE(Data!Y$4:Y$195,3),3,4)))</f>
        <v>2</v>
      </c>
      <c r="Z169" s="34">
        <f>IF(Data!Z169&lt;=QUARTILE(Data!Z$4:Z$195,1),1,IF(Data!Z169&lt;=MEDIAN(Data!Z$4:Z$195),2,IF(Data!Z169&lt;=QUARTILE(Data!Z$4:Z$195,3),3,4)))</f>
        <v>4</v>
      </c>
      <c r="AA169" s="25">
        <f>IF(Data!AA169&lt;=QUARTILE(Data!AA$4:AA$195,1),1,IF(Data!AA169&lt;=MEDIAN(Data!AA$4:AA$195),2,IF(Data!AA169&lt;=QUARTILE(Data!AA$4:AA$195,3),3,4)))</f>
        <v>4</v>
      </c>
      <c r="AB169" s="22">
        <f>IF(Data!AB169&lt;=QUARTILE(Data!AB$4:AB$195,1),1,IF(Data!AB169&lt;=MEDIAN(Data!AB$4:AB$195),2,IF(Data!AB169&lt;=QUARTILE(Data!AB$4:AB$195,3),3,4)))</f>
        <v>4</v>
      </c>
      <c r="AC169" s="25">
        <f>IF(Data!AC169&lt;=QUARTILE(Data!AC$4:AC$195,1),1,IF(Data!AC169&lt;=MEDIAN(Data!AC$4:AC$195),2,IF(Data!AC169&lt;=QUARTILE(Data!AC$4:AC$195,3),3,4)))</f>
        <v>4</v>
      </c>
      <c r="AD169" s="22">
        <f>IF(Data!AD169&lt;=QUARTILE(Data!AD$4:AD$195,1),1,IF(Data!AD169&lt;=MEDIAN(Data!AD$4:AD$195),2,IF(Data!AD169&lt;=QUARTILE(Data!AD$4:AD$195,3),3,4)))</f>
        <v>3</v>
      </c>
      <c r="AE169" s="28">
        <f>IF(Data!AE169&lt;=QUARTILE(Data!AE$4:AE$195,1),1,IF(Data!AE169&lt;=MEDIAN(Data!AE$4:AE$195),2,IF(Data!AE169&lt;=QUARTILE(Data!AE$4:AE$195,3),3,4)))</f>
        <v>1</v>
      </c>
      <c r="AF169" s="28">
        <f>IF(Data!AF169&lt;=QUARTILE(Data!AF$4:AF$195,1),1,IF(Data!AF169&lt;=MEDIAN(Data!AF$4:AF$195),2,IF(Data!AF169&lt;=QUARTILE(Data!AF$4:AF$195,3),3,4)))</f>
        <v>1</v>
      </c>
      <c r="AG169" s="28">
        <f>IF(Data!AG169&lt;=QUARTILE(Data!AG$4:AG$195,1),1,IF(Data!AG169&lt;=MEDIAN(Data!AG$4:AG$195),2,IF(Data!AG169&lt;=QUARTILE(Data!AG$4:AG$195,3),3,4)))</f>
        <v>3</v>
      </c>
      <c r="AH169" s="22">
        <f>IF(Data!AH169&lt;=QUARTILE(Data!AH$4:AH$195,1),1,IF(Data!AH169&lt;=MEDIAN(Data!AH$4:AH$195),2,IF(Data!AH169&lt;=QUARTILE(Data!AH$4:AH$195,3),3,4)))</f>
        <v>2</v>
      </c>
      <c r="AI169" s="25">
        <f>IF(Data!AI169&lt;=QUARTILE(Data!AI$4:AI$195,1),1,IF(Data!AI169&lt;=MEDIAN(Data!AI$4:AI$195),2,IF(Data!AI169&lt;=QUARTILE(Data!AI$4:AI$195,3),3,4)))</f>
        <v>4</v>
      </c>
      <c r="AJ169" s="22">
        <f>IF(Data!AJ169&lt;=QUARTILE(Data!AJ$4:AJ$195,1),1,IF(Data!AJ169&lt;=MEDIAN(Data!AJ$4:AJ$195),2,IF(Data!AJ169&lt;=QUARTILE(Data!AJ$4:AJ$195,3),3,4)))</f>
        <v>4</v>
      </c>
      <c r="AK169" s="25">
        <f>IF(Data!AK169&lt;=QUARTILE(Data!AK$4:AK$195,1),1,IF(Data!AK169&lt;=MEDIAN(Data!AK$4:AK$195),2,IF(Data!AK169&lt;=QUARTILE(Data!AK$4:AK$195,3),3,4)))</f>
        <v>2</v>
      </c>
      <c r="AL169" s="28">
        <f>IF(Data!AL169&lt;=QUARTILE(Data!AL$4:AL$195,1),1,IF(Data!AL169&lt;=MEDIAN(Data!AL$4:AL$195),2,IF(Data!AL169&lt;=QUARTILE(Data!AL$4:AL$195,3),3,4)))</f>
        <v>3</v>
      </c>
      <c r="AM169" s="28">
        <f>IF(Data!AM169&lt;=QUARTILE(Data!AM$4:AM$195,1),1,IF(Data!AM169&lt;=MEDIAN(Data!AM$4:AM$195),2,IF(Data!AM169&lt;=QUARTILE(Data!AM$4:AM$195,3),3,4)))</f>
        <v>4</v>
      </c>
      <c r="AN169" s="22">
        <f>IF(Data!AN169&lt;=QUARTILE(Data!AN$4:AN$195,1),1,IF(Data!AN169&lt;=MEDIAN(Data!AN$4:AN$195),2,IF(Data!AN169&lt;=QUARTILE(Data!AN$4:AN$195,3),3,4)))</f>
        <v>3</v>
      </c>
      <c r="AO169" s="28">
        <f>IF(Data!AO169&lt;=QUARTILE(Data!AO$4:AO$195,1),1,IF(Data!AO169&lt;=MEDIAN(Data!AO$4:AO$195),2,IF(Data!AO169&lt;=QUARTILE(Data!AO$4:AO$195,3),3,4)))</f>
        <v>1</v>
      </c>
      <c r="AP169" s="28">
        <f>IF(Data!AP169&lt;=QUARTILE(Data!AP$4:AP$195,1),1,IF(Data!AP169&lt;=MEDIAN(Data!AP$4:AP$195),2,IF(Data!AP169&lt;=QUARTILE(Data!AP$4:AP$195,3),3,4)))</f>
        <v>2</v>
      </c>
      <c r="AQ169" s="28">
        <f>IF(Data!AQ169&lt;=QUARTILE(Data!AQ$4:AQ$195,1),1,IF(Data!AQ169&lt;=MEDIAN(Data!AQ$4:AQ$195),2,IF(Data!AQ169&lt;=QUARTILE(Data!AQ$4:AQ$195,3),3,4)))</f>
        <v>2</v>
      </c>
      <c r="AR169" s="28">
        <f>IF(Data!AR169&lt;=QUARTILE(Data!AR$4:AR$195,1),1,IF(Data!AR169&lt;=MEDIAN(Data!AR$4:AR$195),2,IF(Data!AR169&lt;=QUARTILE(Data!AR$4:AR$195,3),3,4)))</f>
        <v>3</v>
      </c>
      <c r="AS169" s="28">
        <f>IF(Data!AS169&lt;=QUARTILE(Data!AS$4:AS$195,1),1,IF(Data!AS169&lt;=MEDIAN(Data!AS$4:AS$195),2,IF(Data!AS169&lt;=QUARTILE(Data!AS$4:AS$195,3),3,4)))</f>
        <v>2</v>
      </c>
      <c r="AT169" s="28">
        <f>IF(Data!AT169&lt;=QUARTILE(Data!AT$4:AT$195,1),1,IF(Data!AT169&lt;=MEDIAN(Data!AT$4:AT$195),2,IF(Data!AT169&lt;=QUARTILE(Data!AT$4:AT$195,3),3,4)))</f>
        <v>2</v>
      </c>
      <c r="AU169" s="22">
        <f>IF(Data!AU169&lt;=QUARTILE(Data!AU$4:AU$195,1),1,IF(Data!AU169&lt;=MEDIAN(Data!AU$4:AU$195),2,IF(Data!AU169&lt;=QUARTILE(Data!AU$4:AU$195,3),3,4)))</f>
        <v>1</v>
      </c>
      <c r="AV169" s="25">
        <f>IF(Data!AV169&lt;=QUARTILE(Data!AV$4:AV$195,1),1,IF(Data!AV169&lt;=MEDIAN(Data!AV$4:AV$195),2,IF(Data!AV169&lt;=QUARTILE(Data!AV$4:AV$195,3),3,4)))</f>
        <v>4</v>
      </c>
      <c r="AW169" s="28">
        <f>IF(Data!AW169&lt;=QUARTILE(Data!AW$4:AW$195,1),1,IF(Data!AW169&lt;=MEDIAN(Data!AW$4:AW$195),2,IF(Data!AW169&lt;=QUARTILE(Data!AW$4:AW$195,3),3,4)))</f>
        <v>4</v>
      </c>
      <c r="AX169" s="28">
        <f>IF(Data!AX169&lt;=QUARTILE(Data!AX$4:AX$195,1),1,IF(Data!AX169&lt;=MEDIAN(Data!AX$4:AX$195),2,IF(Data!AX169&lt;=QUARTILE(Data!AX$4:AX$195,3),3,4)))</f>
        <v>1</v>
      </c>
      <c r="AY169" s="22">
        <f>IF(Data!AY169&lt;=QUARTILE(Data!AY$4:AY$195,1),1,IF(Data!AY169&lt;=MEDIAN(Data!AY$4:AY$195),2,IF(Data!AY169&lt;=QUARTILE(Data!AY$4:AY$195,3),3,4)))</f>
        <v>3</v>
      </c>
      <c r="AZ169" s="25">
        <f>IF(Data!AZ169&lt;=QUARTILE(Data!AZ$4:AZ$195,1),1,IF(Data!AZ169&lt;=MEDIAN(Data!AZ$4:AZ$195),2,IF(Data!AZ169&lt;=QUARTILE(Data!AZ$4:AZ$195,3),3,4)))</f>
        <v>3</v>
      </c>
      <c r="BA169" s="22">
        <f>IF(Data!BA169&lt;=QUARTILE(Data!BA$4:BA$195,1),1,IF(Data!BA169&lt;=MEDIAN(Data!BA$4:BA$195),2,IF(Data!BA169&lt;=QUARTILE(Data!BA$4:BA$195,3),3,4)))</f>
        <v>3</v>
      </c>
    </row>
    <row r="170" spans="1:53" x14ac:dyDescent="0.25">
      <c r="A170" s="4" t="s">
        <v>7</v>
      </c>
      <c r="B170" s="40">
        <v>2004</v>
      </c>
      <c r="C170" s="25">
        <v>8</v>
      </c>
      <c r="D170" s="28">
        <v>8</v>
      </c>
      <c r="E170" s="77" t="s">
        <v>96</v>
      </c>
      <c r="F170" s="28">
        <v>2.7</v>
      </c>
      <c r="G170" s="28">
        <v>4.3</v>
      </c>
      <c r="H170" s="22">
        <v>-1.6</v>
      </c>
      <c r="I170" s="25">
        <f>IF(Data!I170&lt;=QUARTILE(Data!I$4:I$195,1),1,IF(Data!I170&lt;=MEDIAN(Data!I$4:I$195),2,IF(Data!I170&lt;=QUARTILE(Data!I$4:I$195,3),3,4)))</f>
        <v>3</v>
      </c>
      <c r="J170" s="28">
        <f>IF(Data!J170&lt;=QUARTILE(Data!J$4:J$195,1),1,IF(Data!J170&lt;=MEDIAN(Data!J$4:J$195),2,IF(Data!J170&lt;=QUARTILE(Data!J$4:J$195,3),3,4)))</f>
        <v>2</v>
      </c>
      <c r="K170" s="28">
        <f>IF(Data!K170&lt;=QUARTILE(Data!K$4:K$195,1),1,IF(Data!K170&lt;=MEDIAN(Data!K$4:K$195),2,IF(Data!K170&lt;=QUARTILE(Data!K$4:K$195,3),3,4)))</f>
        <v>2</v>
      </c>
      <c r="L170" s="22">
        <f>IF(Data!L170&lt;=QUARTILE(Data!L$4:L$195,1),1,IF(Data!L170&lt;=MEDIAN(Data!L$4:L$195),2,IF(Data!L170&lt;=QUARTILE(Data!L$4:L$195,3),3,4)))</f>
        <v>2</v>
      </c>
      <c r="M170" s="28">
        <f>IF(Data!M170&lt;=QUARTILE(Data!M$4:M$195,1),1,IF(Data!M170&lt;=MEDIAN(Data!M$4:M$195),2,IF(Data!M170&lt;=QUARTILE(Data!M$4:M$195,3),3,4)))</f>
        <v>3</v>
      </c>
      <c r="N170" s="28">
        <f>IF(Data!N170&lt;=QUARTILE(Data!N$4:N$195,1),1,IF(Data!N170&lt;=MEDIAN(Data!N$4:N$195),2,IF(Data!N170&lt;=QUARTILE(Data!N$4:N$195,3),3,4)))</f>
        <v>3</v>
      </c>
      <c r="O170" s="28">
        <f>IF(Data!O170&lt;=QUARTILE(Data!O$4:O$195,1),1,IF(Data!O170&lt;=MEDIAN(Data!O$4:O$195),2,IF(Data!O170&lt;=QUARTILE(Data!O$4:O$195,3),3,4)))</f>
        <v>2</v>
      </c>
      <c r="P170" s="28">
        <f>IF(Data!P170&lt;=QUARTILE(Data!P$4:P$195,1),1,IF(Data!P170&lt;=MEDIAN(Data!P$4:P$195),2,IF(Data!P170&lt;=QUARTILE(Data!P$4:P$195,3),3,4)))</f>
        <v>3</v>
      </c>
      <c r="Q170" s="28">
        <f>IF(Data!Q170&lt;=QUARTILE(Data!Q$4:Q$195,1),1,IF(Data!Q170&lt;=MEDIAN(Data!Q$4:Q$195),2,IF(Data!Q170&lt;=QUARTILE(Data!Q$4:Q$195,3),3,4)))</f>
        <v>2</v>
      </c>
      <c r="R170" s="28">
        <f>IF(Data!R170&lt;=QUARTILE(Data!R$4:R$195,1),1,IF(Data!R170&lt;=MEDIAN(Data!R$4:R$195),2,IF(Data!R170&lt;=QUARTILE(Data!R$4:R$195,3),3,4)))</f>
        <v>2</v>
      </c>
      <c r="S170" s="28">
        <f>IF(Data!S170&lt;=QUARTILE(Data!S$4:S$195,1),1,IF(Data!S170&lt;=MEDIAN(Data!S$4:S$195),2,IF(Data!S170&lt;=QUARTILE(Data!S$4:S$195,3),3,4)))</f>
        <v>2</v>
      </c>
      <c r="T170" s="22">
        <f>IF(Data!T170&lt;=QUARTILE(Data!T$4:T$195,1),1,IF(Data!T170&lt;=MEDIAN(Data!T$4:T$195),2,IF(Data!T170&lt;=QUARTILE(Data!T$4:T$195,3),3,4)))</f>
        <v>2</v>
      </c>
      <c r="U170" s="25">
        <f>IF(Data!U170&lt;=QUARTILE(Data!U$4:U$195,1),1,IF(Data!U170&lt;=MEDIAN(Data!U$4:U$195),2,IF(Data!U170&lt;=QUARTILE(Data!U$4:U$195,3),3,4)))</f>
        <v>2</v>
      </c>
      <c r="V170" s="28">
        <f>IF(Data!V170&lt;=QUARTILE(Data!V$4:V$195,1),1,IF(Data!V170&lt;=MEDIAN(Data!V$4:V$195),2,IF(Data!V170&lt;=QUARTILE(Data!V$4:V$195,3),3,4)))</f>
        <v>3</v>
      </c>
      <c r="W170" s="28">
        <f>IF(Data!W170&lt;=QUARTILE(Data!W$4:W$195,1),1,IF(Data!W170&lt;=MEDIAN(Data!W$4:W$195),2,IF(Data!W170&lt;=QUARTILE(Data!W$4:W$195,3),3,4)))</f>
        <v>3</v>
      </c>
      <c r="X170" s="22">
        <f>IF(Data!X170&lt;=QUARTILE(Data!X$4:X$195,1),1,IF(Data!X170&lt;=MEDIAN(Data!X$4:X$195),2,IF(Data!X170&lt;=QUARTILE(Data!X$4:X$195,3),3,4)))</f>
        <v>2</v>
      </c>
      <c r="Y170" s="33">
        <f>IF(Data!Y170&lt;=QUARTILE(Data!Y$4:Y$195,1),1,IF(Data!Y170&lt;=MEDIAN(Data!Y$4:Y$195),2,IF(Data!Y170&lt;=QUARTILE(Data!Y$4:Y$195,3),3,4)))</f>
        <v>4</v>
      </c>
      <c r="Z170" s="34">
        <f>IF(Data!Z170&lt;=QUARTILE(Data!Z$4:Z$195,1),1,IF(Data!Z170&lt;=MEDIAN(Data!Z$4:Z$195),2,IF(Data!Z170&lt;=QUARTILE(Data!Z$4:Z$195,3),3,4)))</f>
        <v>1</v>
      </c>
      <c r="AA170" s="25">
        <f>IF(Data!AA170&lt;=QUARTILE(Data!AA$4:AA$195,1),1,IF(Data!AA170&lt;=MEDIAN(Data!AA$4:AA$195),2,IF(Data!AA170&lt;=QUARTILE(Data!AA$4:AA$195,3),3,4)))</f>
        <v>2</v>
      </c>
      <c r="AB170" s="22">
        <f>IF(Data!AB170&lt;=QUARTILE(Data!AB$4:AB$195,1),1,IF(Data!AB170&lt;=MEDIAN(Data!AB$4:AB$195),2,IF(Data!AB170&lt;=QUARTILE(Data!AB$4:AB$195,3),3,4)))</f>
        <v>3</v>
      </c>
      <c r="AC170" s="25">
        <f>IF(Data!AC170&lt;=QUARTILE(Data!AC$4:AC$195,1),1,IF(Data!AC170&lt;=MEDIAN(Data!AC$4:AC$195),2,IF(Data!AC170&lt;=QUARTILE(Data!AC$4:AC$195,3),3,4)))</f>
        <v>3</v>
      </c>
      <c r="AD170" s="22">
        <f>IF(Data!AD170&lt;=QUARTILE(Data!AD$4:AD$195,1),1,IF(Data!AD170&lt;=MEDIAN(Data!AD$4:AD$195),2,IF(Data!AD170&lt;=QUARTILE(Data!AD$4:AD$195,3),3,4)))</f>
        <v>2</v>
      </c>
      <c r="AE170" s="28">
        <f>IF(Data!AE170&lt;=QUARTILE(Data!AE$4:AE$195,1),1,IF(Data!AE170&lt;=MEDIAN(Data!AE$4:AE$195),2,IF(Data!AE170&lt;=QUARTILE(Data!AE$4:AE$195,3),3,4)))</f>
        <v>3</v>
      </c>
      <c r="AF170" s="28">
        <f>IF(Data!AF170&lt;=QUARTILE(Data!AF$4:AF$195,1),1,IF(Data!AF170&lt;=MEDIAN(Data!AF$4:AF$195),2,IF(Data!AF170&lt;=QUARTILE(Data!AF$4:AF$195,3),3,4)))</f>
        <v>3</v>
      </c>
      <c r="AG170" s="28">
        <f>IF(Data!AG170&lt;=QUARTILE(Data!AG$4:AG$195,1),1,IF(Data!AG170&lt;=MEDIAN(Data!AG$4:AG$195),2,IF(Data!AG170&lt;=QUARTILE(Data!AG$4:AG$195,3),3,4)))</f>
        <v>3</v>
      </c>
      <c r="AH170" s="22">
        <f>IF(Data!AH170&lt;=QUARTILE(Data!AH$4:AH$195,1),1,IF(Data!AH170&lt;=MEDIAN(Data!AH$4:AH$195),2,IF(Data!AH170&lt;=QUARTILE(Data!AH$4:AH$195,3),3,4)))</f>
        <v>3</v>
      </c>
      <c r="AI170" s="25">
        <f>IF(Data!AI170&lt;=QUARTILE(Data!AI$4:AI$195,1),1,IF(Data!AI170&lt;=MEDIAN(Data!AI$4:AI$195),2,IF(Data!AI170&lt;=QUARTILE(Data!AI$4:AI$195,3),3,4)))</f>
        <v>3</v>
      </c>
      <c r="AJ170" s="22">
        <f>IF(Data!AJ170&lt;=QUARTILE(Data!AJ$4:AJ$195,1),1,IF(Data!AJ170&lt;=MEDIAN(Data!AJ$4:AJ$195),2,IF(Data!AJ170&lt;=QUARTILE(Data!AJ$4:AJ$195,3),3,4)))</f>
        <v>3</v>
      </c>
      <c r="AK170" s="25">
        <f>IF(Data!AK170&lt;=QUARTILE(Data!AK$4:AK$195,1),1,IF(Data!AK170&lt;=MEDIAN(Data!AK$4:AK$195),2,IF(Data!AK170&lt;=QUARTILE(Data!AK$4:AK$195,3),3,4)))</f>
        <v>3</v>
      </c>
      <c r="AL170" s="28">
        <f>IF(Data!AL170&lt;=QUARTILE(Data!AL$4:AL$195,1),1,IF(Data!AL170&lt;=MEDIAN(Data!AL$4:AL$195),2,IF(Data!AL170&lt;=QUARTILE(Data!AL$4:AL$195,3),3,4)))</f>
        <v>3</v>
      </c>
      <c r="AM170" s="28">
        <f>IF(Data!AM170&lt;=QUARTILE(Data!AM$4:AM$195,1),1,IF(Data!AM170&lt;=MEDIAN(Data!AM$4:AM$195),2,IF(Data!AM170&lt;=QUARTILE(Data!AM$4:AM$195,3),3,4)))</f>
        <v>4</v>
      </c>
      <c r="AN170" s="22">
        <f>IF(Data!AN170&lt;=QUARTILE(Data!AN$4:AN$195,1),1,IF(Data!AN170&lt;=MEDIAN(Data!AN$4:AN$195),2,IF(Data!AN170&lt;=QUARTILE(Data!AN$4:AN$195,3),3,4)))</f>
        <v>3</v>
      </c>
      <c r="AO170" s="28">
        <f>IF(Data!AO170&lt;=QUARTILE(Data!AO$4:AO$195,1),1,IF(Data!AO170&lt;=MEDIAN(Data!AO$4:AO$195),2,IF(Data!AO170&lt;=QUARTILE(Data!AO$4:AO$195,3),3,4)))</f>
        <v>2</v>
      </c>
      <c r="AP170" s="28">
        <f>IF(Data!AP170&lt;=QUARTILE(Data!AP$4:AP$195,1),1,IF(Data!AP170&lt;=MEDIAN(Data!AP$4:AP$195),2,IF(Data!AP170&lt;=QUARTILE(Data!AP$4:AP$195,3),3,4)))</f>
        <v>2</v>
      </c>
      <c r="AQ170" s="28">
        <f>IF(Data!AQ170&lt;=QUARTILE(Data!AQ$4:AQ$195,1),1,IF(Data!AQ170&lt;=MEDIAN(Data!AQ$4:AQ$195),2,IF(Data!AQ170&lt;=QUARTILE(Data!AQ$4:AQ$195,3),3,4)))</f>
        <v>2</v>
      </c>
      <c r="AR170" s="28">
        <f>IF(Data!AR170&lt;=QUARTILE(Data!AR$4:AR$195,1),1,IF(Data!AR170&lt;=MEDIAN(Data!AR$4:AR$195),2,IF(Data!AR170&lt;=QUARTILE(Data!AR$4:AR$195,3),3,4)))</f>
        <v>3</v>
      </c>
      <c r="AS170" s="28">
        <f>IF(Data!AS170&lt;=QUARTILE(Data!AS$4:AS$195,1),1,IF(Data!AS170&lt;=MEDIAN(Data!AS$4:AS$195),2,IF(Data!AS170&lt;=QUARTILE(Data!AS$4:AS$195,3),3,4)))</f>
        <v>1</v>
      </c>
      <c r="AT170" s="28">
        <f>IF(Data!AT170&lt;=QUARTILE(Data!AT$4:AT$195,1),1,IF(Data!AT170&lt;=MEDIAN(Data!AT$4:AT$195),2,IF(Data!AT170&lt;=QUARTILE(Data!AT$4:AT$195,3),3,4)))</f>
        <v>3</v>
      </c>
      <c r="AU170" s="22">
        <f>IF(Data!AU170&lt;=QUARTILE(Data!AU$4:AU$195,1),1,IF(Data!AU170&lt;=MEDIAN(Data!AU$4:AU$195),2,IF(Data!AU170&lt;=QUARTILE(Data!AU$4:AU$195,3),3,4)))</f>
        <v>3</v>
      </c>
      <c r="AV170" s="25">
        <f>IF(Data!AV170&lt;=QUARTILE(Data!AV$4:AV$195,1),1,IF(Data!AV170&lt;=MEDIAN(Data!AV$4:AV$195),2,IF(Data!AV170&lt;=QUARTILE(Data!AV$4:AV$195,3),3,4)))</f>
        <v>3</v>
      </c>
      <c r="AW170" s="28">
        <f>IF(Data!AW170&lt;=QUARTILE(Data!AW$4:AW$195,1),1,IF(Data!AW170&lt;=MEDIAN(Data!AW$4:AW$195),2,IF(Data!AW170&lt;=QUARTILE(Data!AW$4:AW$195,3),3,4)))</f>
        <v>4</v>
      </c>
      <c r="AX170" s="28">
        <f>IF(Data!AX170&lt;=QUARTILE(Data!AX$4:AX$195,1),1,IF(Data!AX170&lt;=MEDIAN(Data!AX$4:AX$195),2,IF(Data!AX170&lt;=QUARTILE(Data!AX$4:AX$195,3),3,4)))</f>
        <v>2</v>
      </c>
      <c r="AY170" s="22">
        <f>IF(Data!AY170&lt;=QUARTILE(Data!AY$4:AY$195,1),1,IF(Data!AY170&lt;=MEDIAN(Data!AY$4:AY$195),2,IF(Data!AY170&lt;=QUARTILE(Data!AY$4:AY$195,3),3,4)))</f>
        <v>4</v>
      </c>
      <c r="AZ170" s="25">
        <f>IF(Data!AZ170&lt;=QUARTILE(Data!AZ$4:AZ$195,1),1,IF(Data!AZ170&lt;=MEDIAN(Data!AZ$4:AZ$195),2,IF(Data!AZ170&lt;=QUARTILE(Data!AZ$4:AZ$195,3),3,4)))</f>
        <v>4</v>
      </c>
      <c r="BA170" s="22">
        <f>IF(Data!BA170&lt;=QUARTILE(Data!BA$4:BA$195,1),1,IF(Data!BA170&lt;=MEDIAN(Data!BA$4:BA$195),2,IF(Data!BA170&lt;=QUARTILE(Data!BA$4:BA$195,3),3,4)))</f>
        <v>4</v>
      </c>
    </row>
    <row r="171" spans="1:53" x14ac:dyDescent="0.25">
      <c r="A171" s="4" t="s">
        <v>10</v>
      </c>
      <c r="B171" s="40">
        <v>2004</v>
      </c>
      <c r="C171" s="25">
        <v>4</v>
      </c>
      <c r="D171" s="28">
        <v>12</v>
      </c>
      <c r="E171" s="77" t="s">
        <v>96</v>
      </c>
      <c r="F171" s="28">
        <v>-3.4</v>
      </c>
      <c r="G171" s="28">
        <v>-1.5</v>
      </c>
      <c r="H171" s="22">
        <v>-1.9</v>
      </c>
      <c r="I171" s="25">
        <f>IF(Data!I171&lt;=QUARTILE(Data!I$4:I$195,1),1,IF(Data!I171&lt;=MEDIAN(Data!I$4:I$195),2,IF(Data!I171&lt;=QUARTILE(Data!I$4:I$195,3),3,4)))</f>
        <v>1</v>
      </c>
      <c r="J171" s="28">
        <f>IF(Data!J171&lt;=QUARTILE(Data!J$4:J$195,1),1,IF(Data!J171&lt;=MEDIAN(Data!J$4:J$195),2,IF(Data!J171&lt;=QUARTILE(Data!J$4:J$195,3),3,4)))</f>
        <v>1</v>
      </c>
      <c r="K171" s="28">
        <f>IF(Data!K171&lt;=QUARTILE(Data!K$4:K$195,1),1,IF(Data!K171&lt;=MEDIAN(Data!K$4:K$195),2,IF(Data!K171&lt;=QUARTILE(Data!K$4:K$195,3),3,4)))</f>
        <v>1</v>
      </c>
      <c r="L171" s="22">
        <f>IF(Data!L171&lt;=QUARTILE(Data!L$4:L$195,1),1,IF(Data!L171&lt;=MEDIAN(Data!L$4:L$195),2,IF(Data!L171&lt;=QUARTILE(Data!L$4:L$195,3),3,4)))</f>
        <v>1</v>
      </c>
      <c r="M171" s="28">
        <f>IF(Data!M171&lt;=QUARTILE(Data!M$4:M$195,1),1,IF(Data!M171&lt;=MEDIAN(Data!M$4:M$195),2,IF(Data!M171&lt;=QUARTILE(Data!M$4:M$195,3),3,4)))</f>
        <v>1</v>
      </c>
      <c r="N171" s="28">
        <f>IF(Data!N171&lt;=QUARTILE(Data!N$4:N$195,1),1,IF(Data!N171&lt;=MEDIAN(Data!N$4:N$195),2,IF(Data!N171&lt;=QUARTILE(Data!N$4:N$195,3),3,4)))</f>
        <v>1</v>
      </c>
      <c r="O171" s="28">
        <f>IF(Data!O171&lt;=QUARTILE(Data!O$4:O$195,1),1,IF(Data!O171&lt;=MEDIAN(Data!O$4:O$195),2,IF(Data!O171&lt;=QUARTILE(Data!O$4:O$195,3),3,4)))</f>
        <v>1</v>
      </c>
      <c r="P171" s="28">
        <f>IF(Data!P171&lt;=QUARTILE(Data!P$4:P$195,1),1,IF(Data!P171&lt;=MEDIAN(Data!P$4:P$195),2,IF(Data!P171&lt;=QUARTILE(Data!P$4:P$195,3),3,4)))</f>
        <v>2</v>
      </c>
      <c r="Q171" s="28">
        <f>IF(Data!Q171&lt;=QUARTILE(Data!Q$4:Q$195,1),1,IF(Data!Q171&lt;=MEDIAN(Data!Q$4:Q$195),2,IF(Data!Q171&lt;=QUARTILE(Data!Q$4:Q$195,3),3,4)))</f>
        <v>1</v>
      </c>
      <c r="R171" s="28">
        <f>IF(Data!R171&lt;=QUARTILE(Data!R$4:R$195,1),1,IF(Data!R171&lt;=MEDIAN(Data!R$4:R$195),2,IF(Data!R171&lt;=QUARTILE(Data!R$4:R$195,3),3,4)))</f>
        <v>2</v>
      </c>
      <c r="S171" s="28">
        <f>IF(Data!S171&lt;=QUARTILE(Data!S$4:S$195,1),1,IF(Data!S171&lt;=MEDIAN(Data!S$4:S$195),2,IF(Data!S171&lt;=QUARTILE(Data!S$4:S$195,3),3,4)))</f>
        <v>3</v>
      </c>
      <c r="T171" s="22">
        <f>IF(Data!T171&lt;=QUARTILE(Data!T$4:T$195,1),1,IF(Data!T171&lt;=MEDIAN(Data!T$4:T$195),2,IF(Data!T171&lt;=QUARTILE(Data!T$4:T$195,3),3,4)))</f>
        <v>3</v>
      </c>
      <c r="U171" s="25">
        <f>IF(Data!U171&lt;=QUARTILE(Data!U$4:U$195,1),1,IF(Data!U171&lt;=MEDIAN(Data!U$4:U$195),2,IF(Data!U171&lt;=QUARTILE(Data!U$4:U$195,3),3,4)))</f>
        <v>3</v>
      </c>
      <c r="V171" s="28">
        <f>IF(Data!V171&lt;=QUARTILE(Data!V$4:V$195,1),1,IF(Data!V171&lt;=MEDIAN(Data!V$4:V$195),2,IF(Data!V171&lt;=QUARTILE(Data!V$4:V$195,3),3,4)))</f>
        <v>2</v>
      </c>
      <c r="W171" s="28">
        <f>IF(Data!W171&lt;=QUARTILE(Data!W$4:W$195,1),1,IF(Data!W171&lt;=MEDIAN(Data!W$4:W$195),2,IF(Data!W171&lt;=QUARTILE(Data!W$4:W$195,3),3,4)))</f>
        <v>1</v>
      </c>
      <c r="X171" s="22">
        <f>IF(Data!X171&lt;=QUARTILE(Data!X$4:X$195,1),1,IF(Data!X171&lt;=MEDIAN(Data!X$4:X$195),2,IF(Data!X171&lt;=QUARTILE(Data!X$4:X$195,3),3,4)))</f>
        <v>2</v>
      </c>
      <c r="Y171" s="33">
        <f>IF(Data!Y171&lt;=QUARTILE(Data!Y$4:Y$195,1),1,IF(Data!Y171&lt;=MEDIAN(Data!Y$4:Y$195),2,IF(Data!Y171&lt;=QUARTILE(Data!Y$4:Y$195,3),3,4)))</f>
        <v>4</v>
      </c>
      <c r="Z171" s="34">
        <f>IF(Data!Z171&lt;=QUARTILE(Data!Z$4:Z$195,1),1,IF(Data!Z171&lt;=MEDIAN(Data!Z$4:Z$195),2,IF(Data!Z171&lt;=QUARTILE(Data!Z$4:Z$195,3),3,4)))</f>
        <v>4</v>
      </c>
      <c r="AA171" s="25">
        <f>IF(Data!AA171&lt;=QUARTILE(Data!AA$4:AA$195,1),1,IF(Data!AA171&lt;=MEDIAN(Data!AA$4:AA$195),2,IF(Data!AA171&lt;=QUARTILE(Data!AA$4:AA$195,3),3,4)))</f>
        <v>2</v>
      </c>
      <c r="AB171" s="22">
        <f>IF(Data!AB171&lt;=QUARTILE(Data!AB$4:AB$195,1),1,IF(Data!AB171&lt;=MEDIAN(Data!AB$4:AB$195),2,IF(Data!AB171&lt;=QUARTILE(Data!AB$4:AB$195,3),3,4)))</f>
        <v>4</v>
      </c>
      <c r="AC171" s="25">
        <f>IF(Data!AC171&lt;=QUARTILE(Data!AC$4:AC$195,1),1,IF(Data!AC171&lt;=MEDIAN(Data!AC$4:AC$195),2,IF(Data!AC171&lt;=QUARTILE(Data!AC$4:AC$195,3),3,4)))</f>
        <v>4</v>
      </c>
      <c r="AD171" s="22">
        <f>IF(Data!AD171&lt;=QUARTILE(Data!AD$4:AD$195,1),1,IF(Data!AD171&lt;=MEDIAN(Data!AD$4:AD$195),2,IF(Data!AD171&lt;=QUARTILE(Data!AD$4:AD$195,3),3,4)))</f>
        <v>3</v>
      </c>
      <c r="AE171" s="28">
        <f>IF(Data!AE171&lt;=QUARTILE(Data!AE$4:AE$195,1),1,IF(Data!AE171&lt;=MEDIAN(Data!AE$4:AE$195),2,IF(Data!AE171&lt;=QUARTILE(Data!AE$4:AE$195,3),3,4)))</f>
        <v>3</v>
      </c>
      <c r="AF171" s="28">
        <f>IF(Data!AF171&lt;=QUARTILE(Data!AF$4:AF$195,1),1,IF(Data!AF171&lt;=MEDIAN(Data!AF$4:AF$195),2,IF(Data!AF171&lt;=QUARTILE(Data!AF$4:AF$195,3),3,4)))</f>
        <v>3</v>
      </c>
      <c r="AG171" s="28">
        <f>IF(Data!AG171&lt;=QUARTILE(Data!AG$4:AG$195,1),1,IF(Data!AG171&lt;=MEDIAN(Data!AG$4:AG$195),2,IF(Data!AG171&lt;=QUARTILE(Data!AG$4:AG$195,3),3,4)))</f>
        <v>2</v>
      </c>
      <c r="AH171" s="22">
        <f>IF(Data!AH171&lt;=QUARTILE(Data!AH$4:AH$195,1),1,IF(Data!AH171&lt;=MEDIAN(Data!AH$4:AH$195),2,IF(Data!AH171&lt;=QUARTILE(Data!AH$4:AH$195,3),3,4)))</f>
        <v>2</v>
      </c>
      <c r="AI171" s="25">
        <f>IF(Data!AI171&lt;=QUARTILE(Data!AI$4:AI$195,1),1,IF(Data!AI171&lt;=MEDIAN(Data!AI$4:AI$195),2,IF(Data!AI171&lt;=QUARTILE(Data!AI$4:AI$195,3),3,4)))</f>
        <v>4</v>
      </c>
      <c r="AJ171" s="22">
        <f>IF(Data!AJ171&lt;=QUARTILE(Data!AJ$4:AJ$195,1),1,IF(Data!AJ171&lt;=MEDIAN(Data!AJ$4:AJ$195),2,IF(Data!AJ171&lt;=QUARTILE(Data!AJ$4:AJ$195,3),3,4)))</f>
        <v>3</v>
      </c>
      <c r="AK171" s="25">
        <f>IF(Data!AK171&lt;=QUARTILE(Data!AK$4:AK$195,1),1,IF(Data!AK171&lt;=MEDIAN(Data!AK$4:AK$195),2,IF(Data!AK171&lt;=QUARTILE(Data!AK$4:AK$195,3),3,4)))</f>
        <v>4</v>
      </c>
      <c r="AL171" s="28">
        <f>IF(Data!AL171&lt;=QUARTILE(Data!AL$4:AL$195,1),1,IF(Data!AL171&lt;=MEDIAN(Data!AL$4:AL$195),2,IF(Data!AL171&lt;=QUARTILE(Data!AL$4:AL$195,3),3,4)))</f>
        <v>2</v>
      </c>
      <c r="AM171" s="28">
        <f>IF(Data!AM171&lt;=QUARTILE(Data!AM$4:AM$195,1),1,IF(Data!AM171&lt;=MEDIAN(Data!AM$4:AM$195),2,IF(Data!AM171&lt;=QUARTILE(Data!AM$4:AM$195,3),3,4)))</f>
        <v>3</v>
      </c>
      <c r="AN171" s="22">
        <f>IF(Data!AN171&lt;=QUARTILE(Data!AN$4:AN$195,1),1,IF(Data!AN171&lt;=MEDIAN(Data!AN$4:AN$195),2,IF(Data!AN171&lt;=QUARTILE(Data!AN$4:AN$195,3),3,4)))</f>
        <v>3</v>
      </c>
      <c r="AO171" s="28">
        <f>IF(Data!AO171&lt;=QUARTILE(Data!AO$4:AO$195,1),1,IF(Data!AO171&lt;=MEDIAN(Data!AO$4:AO$195),2,IF(Data!AO171&lt;=QUARTILE(Data!AO$4:AO$195,3),3,4)))</f>
        <v>1</v>
      </c>
      <c r="AP171" s="28">
        <f>IF(Data!AP171&lt;=QUARTILE(Data!AP$4:AP$195,1),1,IF(Data!AP171&lt;=MEDIAN(Data!AP$4:AP$195),2,IF(Data!AP171&lt;=QUARTILE(Data!AP$4:AP$195,3),3,4)))</f>
        <v>1</v>
      </c>
      <c r="AQ171" s="28">
        <f>IF(Data!AQ171&lt;=QUARTILE(Data!AQ$4:AQ$195,1),1,IF(Data!AQ171&lt;=MEDIAN(Data!AQ$4:AQ$195),2,IF(Data!AQ171&lt;=QUARTILE(Data!AQ$4:AQ$195,3),3,4)))</f>
        <v>1</v>
      </c>
      <c r="AR171" s="28">
        <f>IF(Data!AR171&lt;=QUARTILE(Data!AR$4:AR$195,1),1,IF(Data!AR171&lt;=MEDIAN(Data!AR$4:AR$195),2,IF(Data!AR171&lt;=QUARTILE(Data!AR$4:AR$195,3),3,4)))</f>
        <v>1</v>
      </c>
      <c r="AS171" s="28">
        <f>IF(Data!AS171&lt;=QUARTILE(Data!AS$4:AS$195,1),1,IF(Data!AS171&lt;=MEDIAN(Data!AS$4:AS$195),2,IF(Data!AS171&lt;=QUARTILE(Data!AS$4:AS$195,3),3,4)))</f>
        <v>1</v>
      </c>
      <c r="AT171" s="28">
        <f>IF(Data!AT171&lt;=QUARTILE(Data!AT$4:AT$195,1),1,IF(Data!AT171&lt;=MEDIAN(Data!AT$4:AT$195),2,IF(Data!AT171&lt;=QUARTILE(Data!AT$4:AT$195,3),3,4)))</f>
        <v>2</v>
      </c>
      <c r="AU171" s="22">
        <f>IF(Data!AU171&lt;=QUARTILE(Data!AU$4:AU$195,1),1,IF(Data!AU171&lt;=MEDIAN(Data!AU$4:AU$195),2,IF(Data!AU171&lt;=QUARTILE(Data!AU$4:AU$195,3),3,4)))</f>
        <v>1</v>
      </c>
      <c r="AV171" s="25">
        <f>IF(Data!AV171&lt;=QUARTILE(Data!AV$4:AV$195,1),1,IF(Data!AV171&lt;=MEDIAN(Data!AV$4:AV$195),2,IF(Data!AV171&lt;=QUARTILE(Data!AV$4:AV$195,3),3,4)))</f>
        <v>4</v>
      </c>
      <c r="AW171" s="28">
        <f>IF(Data!AW171&lt;=QUARTILE(Data!AW$4:AW$195,1),1,IF(Data!AW171&lt;=MEDIAN(Data!AW$4:AW$195),2,IF(Data!AW171&lt;=QUARTILE(Data!AW$4:AW$195,3),3,4)))</f>
        <v>4</v>
      </c>
      <c r="AX171" s="28">
        <f>IF(Data!AX171&lt;=QUARTILE(Data!AX$4:AX$195,1),1,IF(Data!AX171&lt;=MEDIAN(Data!AX$4:AX$195),2,IF(Data!AX171&lt;=QUARTILE(Data!AX$4:AX$195,3),3,4)))</f>
        <v>4</v>
      </c>
      <c r="AY171" s="22">
        <f>IF(Data!AY171&lt;=QUARTILE(Data!AY$4:AY$195,1),1,IF(Data!AY171&lt;=MEDIAN(Data!AY$4:AY$195),2,IF(Data!AY171&lt;=QUARTILE(Data!AY$4:AY$195,3),3,4)))</f>
        <v>4</v>
      </c>
      <c r="AZ171" s="25">
        <f>IF(Data!AZ171&lt;=QUARTILE(Data!AZ$4:AZ$195,1),1,IF(Data!AZ171&lt;=MEDIAN(Data!AZ$4:AZ$195),2,IF(Data!AZ171&lt;=QUARTILE(Data!AZ$4:AZ$195,3),3,4)))</f>
        <v>2</v>
      </c>
      <c r="BA171" s="22">
        <f>IF(Data!BA171&lt;=QUARTILE(Data!BA$4:BA$195,1),1,IF(Data!BA171&lt;=MEDIAN(Data!BA$4:BA$195),2,IF(Data!BA171&lt;=QUARTILE(Data!BA$4:BA$195,3),3,4)))</f>
        <v>3</v>
      </c>
    </row>
    <row r="172" spans="1:53" x14ac:dyDescent="0.25">
      <c r="A172" s="4" t="s">
        <v>19</v>
      </c>
      <c r="B172" s="40">
        <v>2004</v>
      </c>
      <c r="C172" s="25">
        <v>6</v>
      </c>
      <c r="D172" s="28">
        <v>10</v>
      </c>
      <c r="E172" s="77" t="s">
        <v>96</v>
      </c>
      <c r="F172" s="28">
        <v>-7.8</v>
      </c>
      <c r="G172" s="28">
        <v>-3</v>
      </c>
      <c r="H172" s="22">
        <v>-4.8</v>
      </c>
      <c r="I172" s="25">
        <f>IF(Data!I172&lt;=QUARTILE(Data!I$4:I$195,1),1,IF(Data!I172&lt;=MEDIAN(Data!I$4:I$195),2,IF(Data!I172&lt;=QUARTILE(Data!I$4:I$195,3),3,4)))</f>
        <v>2</v>
      </c>
      <c r="J172" s="28">
        <f>IF(Data!J172&lt;=QUARTILE(Data!J$4:J$195,1),1,IF(Data!J172&lt;=MEDIAN(Data!J$4:J$195),2,IF(Data!J172&lt;=QUARTILE(Data!J$4:J$195,3),3,4)))</f>
        <v>2</v>
      </c>
      <c r="K172" s="28">
        <f>IF(Data!K172&lt;=QUARTILE(Data!K$4:K$195,1),1,IF(Data!K172&lt;=MEDIAN(Data!K$4:K$195),2,IF(Data!K172&lt;=QUARTILE(Data!K$4:K$195,3),3,4)))</f>
        <v>2</v>
      </c>
      <c r="L172" s="22">
        <f>IF(Data!L172&lt;=QUARTILE(Data!L$4:L$195,1),1,IF(Data!L172&lt;=MEDIAN(Data!L$4:L$195),2,IF(Data!L172&lt;=QUARTILE(Data!L$4:L$195,3),3,4)))</f>
        <v>2</v>
      </c>
      <c r="M172" s="28">
        <f>IF(Data!M172&lt;=QUARTILE(Data!M$4:M$195,1),1,IF(Data!M172&lt;=MEDIAN(Data!M$4:M$195),2,IF(Data!M172&lt;=QUARTILE(Data!M$4:M$195,3),3,4)))</f>
        <v>2</v>
      </c>
      <c r="N172" s="28">
        <f>IF(Data!N172&lt;=QUARTILE(Data!N$4:N$195,1),1,IF(Data!N172&lt;=MEDIAN(Data!N$4:N$195),2,IF(Data!N172&lt;=QUARTILE(Data!N$4:N$195,3),3,4)))</f>
        <v>2</v>
      </c>
      <c r="O172" s="28">
        <f>IF(Data!O172&lt;=QUARTILE(Data!O$4:O$195,1),1,IF(Data!O172&lt;=MEDIAN(Data!O$4:O$195),2,IF(Data!O172&lt;=QUARTILE(Data!O$4:O$195,3),3,4)))</f>
        <v>3</v>
      </c>
      <c r="P172" s="28">
        <f>IF(Data!P172&lt;=QUARTILE(Data!P$4:P$195,1),1,IF(Data!P172&lt;=MEDIAN(Data!P$4:P$195),2,IF(Data!P172&lt;=QUARTILE(Data!P$4:P$195,3),3,4)))</f>
        <v>2</v>
      </c>
      <c r="Q172" s="28">
        <f>IF(Data!Q172&lt;=QUARTILE(Data!Q$4:Q$195,1),1,IF(Data!Q172&lt;=MEDIAN(Data!Q$4:Q$195),2,IF(Data!Q172&lt;=QUARTILE(Data!Q$4:Q$195,3),3,4)))</f>
        <v>2</v>
      </c>
      <c r="R172" s="28">
        <f>IF(Data!R172&lt;=QUARTILE(Data!R$4:R$195,1),1,IF(Data!R172&lt;=MEDIAN(Data!R$4:R$195),2,IF(Data!R172&lt;=QUARTILE(Data!R$4:R$195,3),3,4)))</f>
        <v>2</v>
      </c>
      <c r="S172" s="28">
        <f>IF(Data!S172&lt;=QUARTILE(Data!S$4:S$195,1),1,IF(Data!S172&lt;=MEDIAN(Data!S$4:S$195),2,IF(Data!S172&lt;=QUARTILE(Data!S$4:S$195,3),3,4)))</f>
        <v>3</v>
      </c>
      <c r="T172" s="22">
        <f>IF(Data!T172&lt;=QUARTILE(Data!T$4:T$195,1),1,IF(Data!T172&lt;=MEDIAN(Data!T$4:T$195),2,IF(Data!T172&lt;=QUARTILE(Data!T$4:T$195,3),3,4)))</f>
        <v>2</v>
      </c>
      <c r="U172" s="25">
        <f>IF(Data!U172&lt;=QUARTILE(Data!U$4:U$195,1),1,IF(Data!U172&lt;=MEDIAN(Data!U$4:U$195),2,IF(Data!U172&lt;=QUARTILE(Data!U$4:U$195,3),3,4)))</f>
        <v>3</v>
      </c>
      <c r="V172" s="28">
        <f>IF(Data!V172&lt;=QUARTILE(Data!V$4:V$195,1),1,IF(Data!V172&lt;=MEDIAN(Data!V$4:V$195),2,IF(Data!V172&lt;=QUARTILE(Data!V$4:V$195,3),3,4)))</f>
        <v>2</v>
      </c>
      <c r="W172" s="28">
        <f>IF(Data!W172&lt;=QUARTILE(Data!W$4:W$195,1),1,IF(Data!W172&lt;=MEDIAN(Data!W$4:W$195),2,IF(Data!W172&lt;=QUARTILE(Data!W$4:W$195,3),3,4)))</f>
        <v>3</v>
      </c>
      <c r="X172" s="22">
        <f>IF(Data!X172&lt;=QUARTILE(Data!X$4:X$195,1),1,IF(Data!X172&lt;=MEDIAN(Data!X$4:X$195),2,IF(Data!X172&lt;=QUARTILE(Data!X$4:X$195,3),3,4)))</f>
        <v>3</v>
      </c>
      <c r="Y172" s="33">
        <f>IF(Data!Y172&lt;=QUARTILE(Data!Y$4:Y$195,1),1,IF(Data!Y172&lt;=MEDIAN(Data!Y$4:Y$195),2,IF(Data!Y172&lt;=QUARTILE(Data!Y$4:Y$195,3),3,4)))</f>
        <v>4</v>
      </c>
      <c r="Z172" s="34">
        <f>IF(Data!Z172&lt;=QUARTILE(Data!Z$4:Z$195,1),1,IF(Data!Z172&lt;=MEDIAN(Data!Z$4:Z$195),2,IF(Data!Z172&lt;=QUARTILE(Data!Z$4:Z$195,3),3,4)))</f>
        <v>3</v>
      </c>
      <c r="AA172" s="25">
        <f>IF(Data!AA172&lt;=QUARTILE(Data!AA$4:AA$195,1),1,IF(Data!AA172&lt;=MEDIAN(Data!AA$4:AA$195),2,IF(Data!AA172&lt;=QUARTILE(Data!AA$4:AA$195,3),3,4)))</f>
        <v>4</v>
      </c>
      <c r="AB172" s="22">
        <f>IF(Data!AB172&lt;=QUARTILE(Data!AB$4:AB$195,1),1,IF(Data!AB172&lt;=MEDIAN(Data!AB$4:AB$195),2,IF(Data!AB172&lt;=QUARTILE(Data!AB$4:AB$195,3),3,4)))</f>
        <v>3</v>
      </c>
      <c r="AC172" s="25">
        <f>IF(Data!AC172&lt;=QUARTILE(Data!AC$4:AC$195,1),1,IF(Data!AC172&lt;=MEDIAN(Data!AC$4:AC$195),2,IF(Data!AC172&lt;=QUARTILE(Data!AC$4:AC$195,3),3,4)))</f>
        <v>4</v>
      </c>
      <c r="AD172" s="22">
        <f>IF(Data!AD172&lt;=QUARTILE(Data!AD$4:AD$195,1),1,IF(Data!AD172&lt;=MEDIAN(Data!AD$4:AD$195),2,IF(Data!AD172&lt;=QUARTILE(Data!AD$4:AD$195,3),3,4)))</f>
        <v>3</v>
      </c>
      <c r="AE172" s="28">
        <f>IF(Data!AE172&lt;=QUARTILE(Data!AE$4:AE$195,1),1,IF(Data!AE172&lt;=MEDIAN(Data!AE$4:AE$195),2,IF(Data!AE172&lt;=QUARTILE(Data!AE$4:AE$195,3),3,4)))</f>
        <v>1</v>
      </c>
      <c r="AF172" s="28">
        <f>IF(Data!AF172&lt;=QUARTILE(Data!AF$4:AF$195,1),1,IF(Data!AF172&lt;=MEDIAN(Data!AF$4:AF$195),2,IF(Data!AF172&lt;=QUARTILE(Data!AF$4:AF$195,3),3,4)))</f>
        <v>1</v>
      </c>
      <c r="AG172" s="28">
        <f>IF(Data!AG172&lt;=QUARTILE(Data!AG$4:AG$195,1),1,IF(Data!AG172&lt;=MEDIAN(Data!AG$4:AG$195),2,IF(Data!AG172&lt;=QUARTILE(Data!AG$4:AG$195,3),3,4)))</f>
        <v>4</v>
      </c>
      <c r="AH172" s="22">
        <f>IF(Data!AH172&lt;=QUARTILE(Data!AH$4:AH$195,1),1,IF(Data!AH172&lt;=MEDIAN(Data!AH$4:AH$195),2,IF(Data!AH172&lt;=QUARTILE(Data!AH$4:AH$195,3),3,4)))</f>
        <v>3</v>
      </c>
      <c r="AI172" s="25">
        <f>IF(Data!AI172&lt;=QUARTILE(Data!AI$4:AI$195,1),1,IF(Data!AI172&lt;=MEDIAN(Data!AI$4:AI$195),2,IF(Data!AI172&lt;=QUARTILE(Data!AI$4:AI$195,3),3,4)))</f>
        <v>2</v>
      </c>
      <c r="AJ172" s="22">
        <f>IF(Data!AJ172&lt;=QUARTILE(Data!AJ$4:AJ$195,1),1,IF(Data!AJ172&lt;=MEDIAN(Data!AJ$4:AJ$195),2,IF(Data!AJ172&lt;=QUARTILE(Data!AJ$4:AJ$195,3),3,4)))</f>
        <v>3</v>
      </c>
      <c r="AK172" s="25">
        <f>IF(Data!AK172&lt;=QUARTILE(Data!AK$4:AK$195,1),1,IF(Data!AK172&lt;=MEDIAN(Data!AK$4:AK$195),2,IF(Data!AK172&lt;=QUARTILE(Data!AK$4:AK$195,3),3,4)))</f>
        <v>4</v>
      </c>
      <c r="AL172" s="28">
        <f>IF(Data!AL172&lt;=QUARTILE(Data!AL$4:AL$195,1),1,IF(Data!AL172&lt;=MEDIAN(Data!AL$4:AL$195),2,IF(Data!AL172&lt;=QUARTILE(Data!AL$4:AL$195,3),3,4)))</f>
        <v>3</v>
      </c>
      <c r="AM172" s="28">
        <f>IF(Data!AM172&lt;=QUARTILE(Data!AM$4:AM$195,1),1,IF(Data!AM172&lt;=MEDIAN(Data!AM$4:AM$195),2,IF(Data!AM172&lt;=QUARTILE(Data!AM$4:AM$195,3),3,4)))</f>
        <v>1</v>
      </c>
      <c r="AN172" s="22">
        <f>IF(Data!AN172&lt;=QUARTILE(Data!AN$4:AN$195,1),1,IF(Data!AN172&lt;=MEDIAN(Data!AN$4:AN$195),2,IF(Data!AN172&lt;=QUARTILE(Data!AN$4:AN$195,3),3,4)))</f>
        <v>2</v>
      </c>
      <c r="AO172" s="28">
        <f>IF(Data!AO172&lt;=QUARTILE(Data!AO$4:AO$195,1),1,IF(Data!AO172&lt;=MEDIAN(Data!AO$4:AO$195),2,IF(Data!AO172&lt;=QUARTILE(Data!AO$4:AO$195,3),3,4)))</f>
        <v>2</v>
      </c>
      <c r="AP172" s="28">
        <f>IF(Data!AP172&lt;=QUARTILE(Data!AP$4:AP$195,1),1,IF(Data!AP172&lt;=MEDIAN(Data!AP$4:AP$195),2,IF(Data!AP172&lt;=QUARTILE(Data!AP$4:AP$195,3),3,4)))</f>
        <v>2</v>
      </c>
      <c r="AQ172" s="28">
        <f>IF(Data!AQ172&lt;=QUARTILE(Data!AQ$4:AQ$195,1),1,IF(Data!AQ172&lt;=MEDIAN(Data!AQ$4:AQ$195),2,IF(Data!AQ172&lt;=QUARTILE(Data!AQ$4:AQ$195,3),3,4)))</f>
        <v>3</v>
      </c>
      <c r="AR172" s="28">
        <f>IF(Data!AR172&lt;=QUARTILE(Data!AR$4:AR$195,1),1,IF(Data!AR172&lt;=MEDIAN(Data!AR$4:AR$195),2,IF(Data!AR172&lt;=QUARTILE(Data!AR$4:AR$195,3),3,4)))</f>
        <v>4</v>
      </c>
      <c r="AS172" s="28">
        <f>IF(Data!AS172&lt;=QUARTILE(Data!AS$4:AS$195,1),1,IF(Data!AS172&lt;=MEDIAN(Data!AS$4:AS$195),2,IF(Data!AS172&lt;=QUARTILE(Data!AS$4:AS$195,3),3,4)))</f>
        <v>3</v>
      </c>
      <c r="AT172" s="28">
        <f>IF(Data!AT172&lt;=QUARTILE(Data!AT$4:AT$195,1),1,IF(Data!AT172&lt;=MEDIAN(Data!AT$4:AT$195),2,IF(Data!AT172&lt;=QUARTILE(Data!AT$4:AT$195,3),3,4)))</f>
        <v>2</v>
      </c>
      <c r="AU172" s="22">
        <f>IF(Data!AU172&lt;=QUARTILE(Data!AU$4:AU$195,1),1,IF(Data!AU172&lt;=MEDIAN(Data!AU$4:AU$195),2,IF(Data!AU172&lt;=QUARTILE(Data!AU$4:AU$195,3),3,4)))</f>
        <v>2</v>
      </c>
      <c r="AV172" s="25">
        <f>IF(Data!AV172&lt;=QUARTILE(Data!AV$4:AV$195,1),1,IF(Data!AV172&lt;=MEDIAN(Data!AV$4:AV$195),2,IF(Data!AV172&lt;=QUARTILE(Data!AV$4:AV$195,3),3,4)))</f>
        <v>2</v>
      </c>
      <c r="AW172" s="28">
        <f>IF(Data!AW172&lt;=QUARTILE(Data!AW$4:AW$195,1),1,IF(Data!AW172&lt;=MEDIAN(Data!AW$4:AW$195),2,IF(Data!AW172&lt;=QUARTILE(Data!AW$4:AW$195,3),3,4)))</f>
        <v>2</v>
      </c>
      <c r="AX172" s="28">
        <f>IF(Data!AX172&lt;=QUARTILE(Data!AX$4:AX$195,1),1,IF(Data!AX172&lt;=MEDIAN(Data!AX$4:AX$195),2,IF(Data!AX172&lt;=QUARTILE(Data!AX$4:AX$195,3),3,4)))</f>
        <v>3</v>
      </c>
      <c r="AY172" s="22">
        <f>IF(Data!AY172&lt;=QUARTILE(Data!AY$4:AY$195,1),1,IF(Data!AY172&lt;=MEDIAN(Data!AY$4:AY$195),2,IF(Data!AY172&lt;=QUARTILE(Data!AY$4:AY$195,3),3,4)))</f>
        <v>2</v>
      </c>
      <c r="AZ172" s="25">
        <f>IF(Data!AZ172&lt;=QUARTILE(Data!AZ$4:AZ$195,1),1,IF(Data!AZ172&lt;=MEDIAN(Data!AZ$4:AZ$195),2,IF(Data!AZ172&lt;=QUARTILE(Data!AZ$4:AZ$195,3),3,4)))</f>
        <v>1</v>
      </c>
      <c r="BA172" s="22">
        <f>IF(Data!BA172&lt;=QUARTILE(Data!BA$4:BA$195,1),1,IF(Data!BA172&lt;=MEDIAN(Data!BA$4:BA$195),2,IF(Data!BA172&lt;=QUARTILE(Data!BA$4:BA$195,3),3,4)))</f>
        <v>1</v>
      </c>
    </row>
    <row r="173" spans="1:53" x14ac:dyDescent="0.25">
      <c r="A173" s="4" t="s">
        <v>16</v>
      </c>
      <c r="B173" s="40">
        <v>2004</v>
      </c>
      <c r="C173" s="25">
        <v>10</v>
      </c>
      <c r="D173" s="28">
        <v>6</v>
      </c>
      <c r="E173" s="77" t="s">
        <v>97</v>
      </c>
      <c r="F173" s="28">
        <v>5.9</v>
      </c>
      <c r="G173" s="28">
        <v>1.6</v>
      </c>
      <c r="H173" s="22">
        <v>4.3</v>
      </c>
      <c r="I173" s="25">
        <f>IF(Data!I173&lt;=QUARTILE(Data!I$4:I$195,1),1,IF(Data!I173&lt;=MEDIAN(Data!I$4:I$195),2,IF(Data!I173&lt;=QUARTILE(Data!I$4:I$195,3),3,4)))</f>
        <v>3</v>
      </c>
      <c r="J173" s="28">
        <f>IF(Data!J173&lt;=QUARTILE(Data!J$4:J$195,1),1,IF(Data!J173&lt;=MEDIAN(Data!J$4:J$195),2,IF(Data!J173&lt;=QUARTILE(Data!J$4:J$195,3),3,4)))</f>
        <v>4</v>
      </c>
      <c r="K173" s="28">
        <f>IF(Data!K173&lt;=QUARTILE(Data!K$4:K$195,1),1,IF(Data!K173&lt;=MEDIAN(Data!K$4:K$195),2,IF(Data!K173&lt;=QUARTILE(Data!K$4:K$195,3),3,4)))</f>
        <v>4</v>
      </c>
      <c r="L173" s="22">
        <f>IF(Data!L173&lt;=QUARTILE(Data!L$4:L$195,1),1,IF(Data!L173&lt;=MEDIAN(Data!L$4:L$195),2,IF(Data!L173&lt;=QUARTILE(Data!L$4:L$195,3),3,4)))</f>
        <v>4</v>
      </c>
      <c r="M173" s="28">
        <f>IF(Data!M173&lt;=QUARTILE(Data!M$4:M$195,1),1,IF(Data!M173&lt;=MEDIAN(Data!M$4:M$195),2,IF(Data!M173&lt;=QUARTILE(Data!M$4:M$195,3),3,4)))</f>
        <v>2</v>
      </c>
      <c r="N173" s="28">
        <f>IF(Data!N173&lt;=QUARTILE(Data!N$4:N$195,1),1,IF(Data!N173&lt;=MEDIAN(Data!N$4:N$195),2,IF(Data!N173&lt;=QUARTILE(Data!N$4:N$195,3),3,4)))</f>
        <v>2</v>
      </c>
      <c r="O173" s="28">
        <f>IF(Data!O173&lt;=QUARTILE(Data!O$4:O$195,1),1,IF(Data!O173&lt;=MEDIAN(Data!O$4:O$195),2,IF(Data!O173&lt;=QUARTILE(Data!O$4:O$195,3),3,4)))</f>
        <v>4</v>
      </c>
      <c r="P173" s="28">
        <f>IF(Data!P173&lt;=QUARTILE(Data!P$4:P$195,1),1,IF(Data!P173&lt;=MEDIAN(Data!P$4:P$195),2,IF(Data!P173&lt;=QUARTILE(Data!P$4:P$195,3),3,4)))</f>
        <v>4</v>
      </c>
      <c r="Q173" s="28">
        <f>IF(Data!Q173&lt;=QUARTILE(Data!Q$4:Q$195,1),1,IF(Data!Q173&lt;=MEDIAN(Data!Q$4:Q$195),2,IF(Data!Q173&lt;=QUARTILE(Data!Q$4:Q$195,3),3,4)))</f>
        <v>3</v>
      </c>
      <c r="R173" s="28">
        <f>IF(Data!R173&lt;=QUARTILE(Data!R$4:R$195,1),1,IF(Data!R173&lt;=MEDIAN(Data!R$4:R$195),2,IF(Data!R173&lt;=QUARTILE(Data!R$4:R$195,3),3,4)))</f>
        <v>3</v>
      </c>
      <c r="S173" s="28">
        <f>IF(Data!S173&lt;=QUARTILE(Data!S$4:S$195,1),1,IF(Data!S173&lt;=MEDIAN(Data!S$4:S$195),2,IF(Data!S173&lt;=QUARTILE(Data!S$4:S$195,3),3,4)))</f>
        <v>1</v>
      </c>
      <c r="T173" s="22">
        <f>IF(Data!T173&lt;=QUARTILE(Data!T$4:T$195,1),1,IF(Data!T173&lt;=MEDIAN(Data!T$4:T$195),2,IF(Data!T173&lt;=QUARTILE(Data!T$4:T$195,3),3,4)))</f>
        <v>1</v>
      </c>
      <c r="U173" s="25">
        <f>IF(Data!U173&lt;=QUARTILE(Data!U$4:U$195,1),1,IF(Data!U173&lt;=MEDIAN(Data!U$4:U$195),2,IF(Data!U173&lt;=QUARTILE(Data!U$4:U$195,3),3,4)))</f>
        <v>4</v>
      </c>
      <c r="V173" s="28">
        <f>IF(Data!V173&lt;=QUARTILE(Data!V$4:V$195,1),1,IF(Data!V173&lt;=MEDIAN(Data!V$4:V$195),2,IF(Data!V173&lt;=QUARTILE(Data!V$4:V$195,3),3,4)))</f>
        <v>4</v>
      </c>
      <c r="W173" s="28">
        <f>IF(Data!W173&lt;=QUARTILE(Data!W$4:W$195,1),1,IF(Data!W173&lt;=MEDIAN(Data!W$4:W$195),2,IF(Data!W173&lt;=QUARTILE(Data!W$4:W$195,3),3,4)))</f>
        <v>2</v>
      </c>
      <c r="X173" s="22">
        <f>IF(Data!X173&lt;=QUARTILE(Data!X$4:X$195,1),1,IF(Data!X173&lt;=MEDIAN(Data!X$4:X$195),2,IF(Data!X173&lt;=QUARTILE(Data!X$4:X$195,3),3,4)))</f>
        <v>4</v>
      </c>
      <c r="Y173" s="33">
        <f>IF(Data!Y173&lt;=QUARTILE(Data!Y$4:Y$195,1),1,IF(Data!Y173&lt;=MEDIAN(Data!Y$4:Y$195),2,IF(Data!Y173&lt;=QUARTILE(Data!Y$4:Y$195,3),3,4)))</f>
        <v>4</v>
      </c>
      <c r="Z173" s="34">
        <f>IF(Data!Z173&lt;=QUARTILE(Data!Z$4:Z$195,1),1,IF(Data!Z173&lt;=MEDIAN(Data!Z$4:Z$195),2,IF(Data!Z173&lt;=QUARTILE(Data!Z$4:Z$195,3),3,4)))</f>
        <v>1</v>
      </c>
      <c r="AA173" s="25">
        <f>IF(Data!AA173&lt;=QUARTILE(Data!AA$4:AA$195,1),1,IF(Data!AA173&lt;=MEDIAN(Data!AA$4:AA$195),2,IF(Data!AA173&lt;=QUARTILE(Data!AA$4:AA$195,3),3,4)))</f>
        <v>3</v>
      </c>
      <c r="AB173" s="22">
        <f>IF(Data!AB173&lt;=QUARTILE(Data!AB$4:AB$195,1),1,IF(Data!AB173&lt;=MEDIAN(Data!AB$4:AB$195),2,IF(Data!AB173&lt;=QUARTILE(Data!AB$4:AB$195,3),3,4)))</f>
        <v>4</v>
      </c>
      <c r="AC173" s="25">
        <f>IF(Data!AC173&lt;=QUARTILE(Data!AC$4:AC$195,1),1,IF(Data!AC173&lt;=MEDIAN(Data!AC$4:AC$195),2,IF(Data!AC173&lt;=QUARTILE(Data!AC$4:AC$195,3),3,4)))</f>
        <v>1</v>
      </c>
      <c r="AD173" s="22">
        <f>IF(Data!AD173&lt;=QUARTILE(Data!AD$4:AD$195,1),1,IF(Data!AD173&lt;=MEDIAN(Data!AD$4:AD$195),2,IF(Data!AD173&lt;=QUARTILE(Data!AD$4:AD$195,3),3,4)))</f>
        <v>1</v>
      </c>
      <c r="AE173" s="28">
        <f>IF(Data!AE173&lt;=QUARTILE(Data!AE$4:AE$195,1),1,IF(Data!AE173&lt;=MEDIAN(Data!AE$4:AE$195),2,IF(Data!AE173&lt;=QUARTILE(Data!AE$4:AE$195,3),3,4)))</f>
        <v>2</v>
      </c>
      <c r="AF173" s="28">
        <f>IF(Data!AF173&lt;=QUARTILE(Data!AF$4:AF$195,1),1,IF(Data!AF173&lt;=MEDIAN(Data!AF$4:AF$195),2,IF(Data!AF173&lt;=QUARTILE(Data!AF$4:AF$195,3),3,4)))</f>
        <v>3</v>
      </c>
      <c r="AG173" s="28">
        <f>IF(Data!AG173&lt;=QUARTILE(Data!AG$4:AG$195,1),1,IF(Data!AG173&lt;=MEDIAN(Data!AG$4:AG$195),2,IF(Data!AG173&lt;=QUARTILE(Data!AG$4:AG$195,3),3,4)))</f>
        <v>4</v>
      </c>
      <c r="AH173" s="22">
        <f>IF(Data!AH173&lt;=QUARTILE(Data!AH$4:AH$195,1),1,IF(Data!AH173&lt;=MEDIAN(Data!AH$4:AH$195),2,IF(Data!AH173&lt;=QUARTILE(Data!AH$4:AH$195,3),3,4)))</f>
        <v>4</v>
      </c>
      <c r="AI173" s="25">
        <f>IF(Data!AI173&lt;=QUARTILE(Data!AI$4:AI$195,1),1,IF(Data!AI173&lt;=MEDIAN(Data!AI$4:AI$195),2,IF(Data!AI173&lt;=QUARTILE(Data!AI$4:AI$195,3),3,4)))</f>
        <v>2</v>
      </c>
      <c r="AJ173" s="22">
        <f>IF(Data!AJ173&lt;=QUARTILE(Data!AJ$4:AJ$195,1),1,IF(Data!AJ173&lt;=MEDIAN(Data!AJ$4:AJ$195),2,IF(Data!AJ173&lt;=QUARTILE(Data!AJ$4:AJ$195,3),3,4)))</f>
        <v>2</v>
      </c>
      <c r="AK173" s="25">
        <f>IF(Data!AK173&lt;=QUARTILE(Data!AK$4:AK$195,1),1,IF(Data!AK173&lt;=MEDIAN(Data!AK$4:AK$195),2,IF(Data!AK173&lt;=QUARTILE(Data!AK$4:AK$195,3),3,4)))</f>
        <v>2</v>
      </c>
      <c r="AL173" s="28">
        <f>IF(Data!AL173&lt;=QUARTILE(Data!AL$4:AL$195,1),1,IF(Data!AL173&lt;=MEDIAN(Data!AL$4:AL$195),2,IF(Data!AL173&lt;=QUARTILE(Data!AL$4:AL$195,3),3,4)))</f>
        <v>1</v>
      </c>
      <c r="AM173" s="28">
        <f>IF(Data!AM173&lt;=QUARTILE(Data!AM$4:AM$195,1),1,IF(Data!AM173&lt;=MEDIAN(Data!AM$4:AM$195),2,IF(Data!AM173&lt;=QUARTILE(Data!AM$4:AM$195,3),3,4)))</f>
        <v>1</v>
      </c>
      <c r="AN173" s="22">
        <f>IF(Data!AN173&lt;=QUARTILE(Data!AN$4:AN$195,1),1,IF(Data!AN173&lt;=MEDIAN(Data!AN$4:AN$195),2,IF(Data!AN173&lt;=QUARTILE(Data!AN$4:AN$195,3),3,4)))</f>
        <v>1</v>
      </c>
      <c r="AO173" s="28">
        <f>IF(Data!AO173&lt;=QUARTILE(Data!AO$4:AO$195,1),1,IF(Data!AO173&lt;=MEDIAN(Data!AO$4:AO$195),2,IF(Data!AO173&lt;=QUARTILE(Data!AO$4:AO$195,3),3,4)))</f>
        <v>1</v>
      </c>
      <c r="AP173" s="28">
        <f>IF(Data!AP173&lt;=QUARTILE(Data!AP$4:AP$195,1),1,IF(Data!AP173&lt;=MEDIAN(Data!AP$4:AP$195),2,IF(Data!AP173&lt;=QUARTILE(Data!AP$4:AP$195,3),3,4)))</f>
        <v>1</v>
      </c>
      <c r="AQ173" s="28">
        <f>IF(Data!AQ173&lt;=QUARTILE(Data!AQ$4:AQ$195,1),1,IF(Data!AQ173&lt;=MEDIAN(Data!AQ$4:AQ$195),2,IF(Data!AQ173&lt;=QUARTILE(Data!AQ$4:AQ$195,3),3,4)))</f>
        <v>1</v>
      </c>
      <c r="AR173" s="28">
        <f>IF(Data!AR173&lt;=QUARTILE(Data!AR$4:AR$195,1),1,IF(Data!AR173&lt;=MEDIAN(Data!AR$4:AR$195),2,IF(Data!AR173&lt;=QUARTILE(Data!AR$4:AR$195,3),3,4)))</f>
        <v>1</v>
      </c>
      <c r="AS173" s="28">
        <f>IF(Data!AS173&lt;=QUARTILE(Data!AS$4:AS$195,1),1,IF(Data!AS173&lt;=MEDIAN(Data!AS$4:AS$195),2,IF(Data!AS173&lt;=QUARTILE(Data!AS$4:AS$195,3),3,4)))</f>
        <v>1</v>
      </c>
      <c r="AT173" s="28">
        <f>IF(Data!AT173&lt;=QUARTILE(Data!AT$4:AT$195,1),1,IF(Data!AT173&lt;=MEDIAN(Data!AT$4:AT$195),2,IF(Data!AT173&lt;=QUARTILE(Data!AT$4:AT$195,3),3,4)))</f>
        <v>3</v>
      </c>
      <c r="AU173" s="22">
        <f>IF(Data!AU173&lt;=QUARTILE(Data!AU$4:AU$195,1),1,IF(Data!AU173&lt;=MEDIAN(Data!AU$4:AU$195),2,IF(Data!AU173&lt;=QUARTILE(Data!AU$4:AU$195,3),3,4)))</f>
        <v>4</v>
      </c>
      <c r="AV173" s="25">
        <f>IF(Data!AV173&lt;=QUARTILE(Data!AV$4:AV$195,1),1,IF(Data!AV173&lt;=MEDIAN(Data!AV$4:AV$195),2,IF(Data!AV173&lt;=QUARTILE(Data!AV$4:AV$195,3),3,4)))</f>
        <v>1</v>
      </c>
      <c r="AW173" s="28">
        <f>IF(Data!AW173&lt;=QUARTILE(Data!AW$4:AW$195,1),1,IF(Data!AW173&lt;=MEDIAN(Data!AW$4:AW$195),2,IF(Data!AW173&lt;=QUARTILE(Data!AW$4:AW$195,3),3,4)))</f>
        <v>1</v>
      </c>
      <c r="AX173" s="28">
        <f>IF(Data!AX173&lt;=QUARTILE(Data!AX$4:AX$195,1),1,IF(Data!AX173&lt;=MEDIAN(Data!AX$4:AX$195),2,IF(Data!AX173&lt;=QUARTILE(Data!AX$4:AX$195,3),3,4)))</f>
        <v>3</v>
      </c>
      <c r="AY173" s="22">
        <f>IF(Data!AY173&lt;=QUARTILE(Data!AY$4:AY$195,1),1,IF(Data!AY173&lt;=MEDIAN(Data!AY$4:AY$195),2,IF(Data!AY173&lt;=QUARTILE(Data!AY$4:AY$195,3),3,4)))</f>
        <v>1</v>
      </c>
      <c r="AZ173" s="25">
        <f>IF(Data!AZ173&lt;=QUARTILE(Data!AZ$4:AZ$195,1),1,IF(Data!AZ173&lt;=MEDIAN(Data!AZ$4:AZ$195),2,IF(Data!AZ173&lt;=QUARTILE(Data!AZ$4:AZ$195,3),3,4)))</f>
        <v>1</v>
      </c>
      <c r="BA173" s="22">
        <f>IF(Data!BA173&lt;=QUARTILE(Data!BA$4:BA$195,1),1,IF(Data!BA173&lt;=MEDIAN(Data!BA$4:BA$195),2,IF(Data!BA173&lt;=QUARTILE(Data!BA$4:BA$195,3),3,4)))</f>
        <v>1</v>
      </c>
    </row>
    <row r="174" spans="1:53" x14ac:dyDescent="0.25">
      <c r="A174" s="4" t="s">
        <v>26</v>
      </c>
      <c r="B174" s="40">
        <v>2004</v>
      </c>
      <c r="C174" s="25">
        <v>6</v>
      </c>
      <c r="D174" s="28">
        <v>10</v>
      </c>
      <c r="E174" s="77" t="s">
        <v>96</v>
      </c>
      <c r="F174" s="28">
        <v>-5.2</v>
      </c>
      <c r="G174" s="28">
        <v>-3.8</v>
      </c>
      <c r="H174" s="22">
        <v>-1.4</v>
      </c>
      <c r="I174" s="25">
        <f>IF(Data!I174&lt;=QUARTILE(Data!I$4:I$195,1),1,IF(Data!I174&lt;=MEDIAN(Data!I$4:I$195),2,IF(Data!I174&lt;=QUARTILE(Data!I$4:I$195,3),3,4)))</f>
        <v>2</v>
      </c>
      <c r="J174" s="28">
        <f>IF(Data!J174&lt;=QUARTILE(Data!J$4:J$195,1),1,IF(Data!J174&lt;=MEDIAN(Data!J$4:J$195),2,IF(Data!J174&lt;=QUARTILE(Data!J$4:J$195,3),3,4)))</f>
        <v>1</v>
      </c>
      <c r="K174" s="28">
        <f>IF(Data!K174&lt;=QUARTILE(Data!K$4:K$195,1),1,IF(Data!K174&lt;=MEDIAN(Data!K$4:K$195),2,IF(Data!K174&lt;=QUARTILE(Data!K$4:K$195,3),3,4)))</f>
        <v>1</v>
      </c>
      <c r="L174" s="22">
        <f>IF(Data!L174&lt;=QUARTILE(Data!L$4:L$195,1),1,IF(Data!L174&lt;=MEDIAN(Data!L$4:L$195),2,IF(Data!L174&lt;=QUARTILE(Data!L$4:L$195,3),3,4)))</f>
        <v>1</v>
      </c>
      <c r="M174" s="28">
        <f>IF(Data!M174&lt;=QUARTILE(Data!M$4:M$195,1),1,IF(Data!M174&lt;=MEDIAN(Data!M$4:M$195),2,IF(Data!M174&lt;=QUARTILE(Data!M$4:M$195,3),3,4)))</f>
        <v>2</v>
      </c>
      <c r="N174" s="28">
        <f>IF(Data!N174&lt;=QUARTILE(Data!N$4:N$195,1),1,IF(Data!N174&lt;=MEDIAN(Data!N$4:N$195),2,IF(Data!N174&lt;=QUARTILE(Data!N$4:N$195,3),3,4)))</f>
        <v>2</v>
      </c>
      <c r="O174" s="28">
        <f>IF(Data!O174&lt;=QUARTILE(Data!O$4:O$195,1),1,IF(Data!O174&lt;=MEDIAN(Data!O$4:O$195),2,IF(Data!O174&lt;=QUARTILE(Data!O$4:O$195,3),3,4)))</f>
        <v>1</v>
      </c>
      <c r="P174" s="28">
        <f>IF(Data!P174&lt;=QUARTILE(Data!P$4:P$195,1),1,IF(Data!P174&lt;=MEDIAN(Data!P$4:P$195),2,IF(Data!P174&lt;=QUARTILE(Data!P$4:P$195,3),3,4)))</f>
        <v>2</v>
      </c>
      <c r="Q174" s="28">
        <f>IF(Data!Q174&lt;=QUARTILE(Data!Q$4:Q$195,1),1,IF(Data!Q174&lt;=MEDIAN(Data!Q$4:Q$195),2,IF(Data!Q174&lt;=QUARTILE(Data!Q$4:Q$195,3),3,4)))</f>
        <v>1</v>
      </c>
      <c r="R174" s="28">
        <f>IF(Data!R174&lt;=QUARTILE(Data!R$4:R$195,1),1,IF(Data!R174&lt;=MEDIAN(Data!R$4:R$195),2,IF(Data!R174&lt;=QUARTILE(Data!R$4:R$195,3),3,4)))</f>
        <v>2</v>
      </c>
      <c r="S174" s="28">
        <f>IF(Data!S174&lt;=QUARTILE(Data!S$4:S$195,1),1,IF(Data!S174&lt;=MEDIAN(Data!S$4:S$195),2,IF(Data!S174&lt;=QUARTILE(Data!S$4:S$195,3),3,4)))</f>
        <v>3</v>
      </c>
      <c r="T174" s="22">
        <f>IF(Data!T174&lt;=QUARTILE(Data!T$4:T$195,1),1,IF(Data!T174&lt;=MEDIAN(Data!T$4:T$195),2,IF(Data!T174&lt;=QUARTILE(Data!T$4:T$195,3),3,4)))</f>
        <v>2</v>
      </c>
      <c r="U174" s="25">
        <f>IF(Data!U174&lt;=QUARTILE(Data!U$4:U$195,1),1,IF(Data!U174&lt;=MEDIAN(Data!U$4:U$195),2,IF(Data!U174&lt;=QUARTILE(Data!U$4:U$195,3),3,4)))</f>
        <v>1</v>
      </c>
      <c r="V174" s="28">
        <f>IF(Data!V174&lt;=QUARTILE(Data!V$4:V$195,1),1,IF(Data!V174&lt;=MEDIAN(Data!V$4:V$195),2,IF(Data!V174&lt;=QUARTILE(Data!V$4:V$195,3),3,4)))</f>
        <v>2</v>
      </c>
      <c r="W174" s="28">
        <f>IF(Data!W174&lt;=QUARTILE(Data!W$4:W$195,1),1,IF(Data!W174&lt;=MEDIAN(Data!W$4:W$195),2,IF(Data!W174&lt;=QUARTILE(Data!W$4:W$195,3),3,4)))</f>
        <v>1</v>
      </c>
      <c r="X174" s="22">
        <f>IF(Data!X174&lt;=QUARTILE(Data!X$4:X$195,1),1,IF(Data!X174&lt;=MEDIAN(Data!X$4:X$195),2,IF(Data!X174&lt;=QUARTILE(Data!X$4:X$195,3),3,4)))</f>
        <v>2</v>
      </c>
      <c r="Y174" s="33">
        <f>IF(Data!Y174&lt;=QUARTILE(Data!Y$4:Y$195,1),1,IF(Data!Y174&lt;=MEDIAN(Data!Y$4:Y$195),2,IF(Data!Y174&lt;=QUARTILE(Data!Y$4:Y$195,3),3,4)))</f>
        <v>1</v>
      </c>
      <c r="Z174" s="34">
        <f>IF(Data!Z174&lt;=QUARTILE(Data!Z$4:Z$195,1),1,IF(Data!Z174&lt;=MEDIAN(Data!Z$4:Z$195),2,IF(Data!Z174&lt;=QUARTILE(Data!Z$4:Z$195,3),3,4)))</f>
        <v>1</v>
      </c>
      <c r="AA174" s="25">
        <f>IF(Data!AA174&lt;=QUARTILE(Data!AA$4:AA$195,1),1,IF(Data!AA174&lt;=MEDIAN(Data!AA$4:AA$195),2,IF(Data!AA174&lt;=QUARTILE(Data!AA$4:AA$195,3),3,4)))</f>
        <v>3</v>
      </c>
      <c r="AB174" s="22">
        <f>IF(Data!AB174&lt;=QUARTILE(Data!AB$4:AB$195,1),1,IF(Data!AB174&lt;=MEDIAN(Data!AB$4:AB$195),2,IF(Data!AB174&lt;=QUARTILE(Data!AB$4:AB$195,3),3,4)))</f>
        <v>4</v>
      </c>
      <c r="AC174" s="25">
        <f>IF(Data!AC174&lt;=QUARTILE(Data!AC$4:AC$195,1),1,IF(Data!AC174&lt;=MEDIAN(Data!AC$4:AC$195),2,IF(Data!AC174&lt;=QUARTILE(Data!AC$4:AC$195,3),3,4)))</f>
        <v>3</v>
      </c>
      <c r="AD174" s="22">
        <f>IF(Data!AD174&lt;=QUARTILE(Data!AD$4:AD$195,1),1,IF(Data!AD174&lt;=MEDIAN(Data!AD$4:AD$195),2,IF(Data!AD174&lt;=QUARTILE(Data!AD$4:AD$195,3),3,4)))</f>
        <v>3</v>
      </c>
      <c r="AE174" s="28">
        <f>IF(Data!AE174&lt;=QUARTILE(Data!AE$4:AE$195,1),1,IF(Data!AE174&lt;=MEDIAN(Data!AE$4:AE$195),2,IF(Data!AE174&lt;=QUARTILE(Data!AE$4:AE$195,3),3,4)))</f>
        <v>3</v>
      </c>
      <c r="AF174" s="28">
        <f>IF(Data!AF174&lt;=QUARTILE(Data!AF$4:AF$195,1),1,IF(Data!AF174&lt;=MEDIAN(Data!AF$4:AF$195),2,IF(Data!AF174&lt;=QUARTILE(Data!AF$4:AF$195,3),3,4)))</f>
        <v>3</v>
      </c>
      <c r="AG174" s="28">
        <f>IF(Data!AG174&lt;=QUARTILE(Data!AG$4:AG$195,1),1,IF(Data!AG174&lt;=MEDIAN(Data!AG$4:AG$195),2,IF(Data!AG174&lt;=QUARTILE(Data!AG$4:AG$195,3),3,4)))</f>
        <v>1</v>
      </c>
      <c r="AH174" s="22">
        <f>IF(Data!AH174&lt;=QUARTILE(Data!AH$4:AH$195,1),1,IF(Data!AH174&lt;=MEDIAN(Data!AH$4:AH$195),2,IF(Data!AH174&lt;=QUARTILE(Data!AH$4:AH$195,3),3,4)))</f>
        <v>1</v>
      </c>
      <c r="AI174" s="25">
        <f>IF(Data!AI174&lt;=QUARTILE(Data!AI$4:AI$195,1),1,IF(Data!AI174&lt;=MEDIAN(Data!AI$4:AI$195),2,IF(Data!AI174&lt;=QUARTILE(Data!AI$4:AI$195,3),3,4)))</f>
        <v>4</v>
      </c>
      <c r="AJ174" s="22">
        <f>IF(Data!AJ174&lt;=QUARTILE(Data!AJ$4:AJ$195,1),1,IF(Data!AJ174&lt;=MEDIAN(Data!AJ$4:AJ$195),2,IF(Data!AJ174&lt;=QUARTILE(Data!AJ$4:AJ$195,3),3,4)))</f>
        <v>4</v>
      </c>
      <c r="AK174" s="25">
        <f>IF(Data!AK174&lt;=QUARTILE(Data!AK$4:AK$195,1),1,IF(Data!AK174&lt;=MEDIAN(Data!AK$4:AK$195),2,IF(Data!AK174&lt;=QUARTILE(Data!AK$4:AK$195,3),3,4)))</f>
        <v>3</v>
      </c>
      <c r="AL174" s="28">
        <f>IF(Data!AL174&lt;=QUARTILE(Data!AL$4:AL$195,1),1,IF(Data!AL174&lt;=MEDIAN(Data!AL$4:AL$195),2,IF(Data!AL174&lt;=QUARTILE(Data!AL$4:AL$195,3),3,4)))</f>
        <v>3</v>
      </c>
      <c r="AM174" s="28">
        <f>IF(Data!AM174&lt;=QUARTILE(Data!AM$4:AM$195,1),1,IF(Data!AM174&lt;=MEDIAN(Data!AM$4:AM$195),2,IF(Data!AM174&lt;=QUARTILE(Data!AM$4:AM$195,3),3,4)))</f>
        <v>4</v>
      </c>
      <c r="AN174" s="22">
        <f>IF(Data!AN174&lt;=QUARTILE(Data!AN$4:AN$195,1),1,IF(Data!AN174&lt;=MEDIAN(Data!AN$4:AN$195),2,IF(Data!AN174&lt;=QUARTILE(Data!AN$4:AN$195,3),3,4)))</f>
        <v>4</v>
      </c>
      <c r="AO174" s="28">
        <f>IF(Data!AO174&lt;=QUARTILE(Data!AO$4:AO$195,1),1,IF(Data!AO174&lt;=MEDIAN(Data!AO$4:AO$195),2,IF(Data!AO174&lt;=QUARTILE(Data!AO$4:AO$195,3),3,4)))</f>
        <v>3</v>
      </c>
      <c r="AP174" s="28">
        <f>IF(Data!AP174&lt;=QUARTILE(Data!AP$4:AP$195,1),1,IF(Data!AP174&lt;=MEDIAN(Data!AP$4:AP$195),2,IF(Data!AP174&lt;=QUARTILE(Data!AP$4:AP$195,3),3,4)))</f>
        <v>3</v>
      </c>
      <c r="AQ174" s="28">
        <f>IF(Data!AQ174&lt;=QUARTILE(Data!AQ$4:AQ$195,1),1,IF(Data!AQ174&lt;=MEDIAN(Data!AQ$4:AQ$195),2,IF(Data!AQ174&lt;=QUARTILE(Data!AQ$4:AQ$195,3),3,4)))</f>
        <v>3</v>
      </c>
      <c r="AR174" s="28">
        <f>IF(Data!AR174&lt;=QUARTILE(Data!AR$4:AR$195,1),1,IF(Data!AR174&lt;=MEDIAN(Data!AR$4:AR$195),2,IF(Data!AR174&lt;=QUARTILE(Data!AR$4:AR$195,3),3,4)))</f>
        <v>4</v>
      </c>
      <c r="AS174" s="28">
        <f>IF(Data!AS174&lt;=QUARTILE(Data!AS$4:AS$195,1),1,IF(Data!AS174&lt;=MEDIAN(Data!AS$4:AS$195),2,IF(Data!AS174&lt;=QUARTILE(Data!AS$4:AS$195,3),3,4)))</f>
        <v>2</v>
      </c>
      <c r="AT174" s="28">
        <f>IF(Data!AT174&lt;=QUARTILE(Data!AT$4:AT$195,1),1,IF(Data!AT174&lt;=MEDIAN(Data!AT$4:AT$195),2,IF(Data!AT174&lt;=QUARTILE(Data!AT$4:AT$195,3),3,4)))</f>
        <v>3</v>
      </c>
      <c r="AU174" s="22">
        <f>IF(Data!AU174&lt;=QUARTILE(Data!AU$4:AU$195,1),1,IF(Data!AU174&lt;=MEDIAN(Data!AU$4:AU$195),2,IF(Data!AU174&lt;=QUARTILE(Data!AU$4:AU$195,3),3,4)))</f>
        <v>2</v>
      </c>
      <c r="AV174" s="25">
        <f>IF(Data!AV174&lt;=QUARTILE(Data!AV$4:AV$195,1),1,IF(Data!AV174&lt;=MEDIAN(Data!AV$4:AV$195),2,IF(Data!AV174&lt;=QUARTILE(Data!AV$4:AV$195,3),3,4)))</f>
        <v>4</v>
      </c>
      <c r="AW174" s="28">
        <f>IF(Data!AW174&lt;=QUARTILE(Data!AW$4:AW$195,1),1,IF(Data!AW174&lt;=MEDIAN(Data!AW$4:AW$195),2,IF(Data!AW174&lt;=QUARTILE(Data!AW$4:AW$195,3),3,4)))</f>
        <v>3</v>
      </c>
      <c r="AX174" s="28">
        <f>IF(Data!AX174&lt;=QUARTILE(Data!AX$4:AX$195,1),1,IF(Data!AX174&lt;=MEDIAN(Data!AX$4:AX$195),2,IF(Data!AX174&lt;=QUARTILE(Data!AX$4:AX$195,3),3,4)))</f>
        <v>1</v>
      </c>
      <c r="AY174" s="22">
        <f>IF(Data!AY174&lt;=QUARTILE(Data!AY$4:AY$195,1),1,IF(Data!AY174&lt;=MEDIAN(Data!AY$4:AY$195),2,IF(Data!AY174&lt;=QUARTILE(Data!AY$4:AY$195,3),3,4)))</f>
        <v>4</v>
      </c>
      <c r="AZ174" s="25">
        <f>IF(Data!AZ174&lt;=QUARTILE(Data!AZ$4:AZ$195,1),1,IF(Data!AZ174&lt;=MEDIAN(Data!AZ$4:AZ$195),2,IF(Data!AZ174&lt;=QUARTILE(Data!AZ$4:AZ$195,3),3,4)))</f>
        <v>2</v>
      </c>
      <c r="BA174" s="22">
        <f>IF(Data!BA174&lt;=QUARTILE(Data!BA$4:BA$195,1),1,IF(Data!BA174&lt;=MEDIAN(Data!BA$4:BA$195),2,IF(Data!BA174&lt;=QUARTILE(Data!BA$4:BA$195,3),3,4)))</f>
        <v>2</v>
      </c>
    </row>
    <row r="175" spans="1:53" x14ac:dyDescent="0.25">
      <c r="A175" s="4" t="s">
        <v>24</v>
      </c>
      <c r="B175" s="40">
        <v>2004</v>
      </c>
      <c r="C175" s="25">
        <v>10</v>
      </c>
      <c r="D175" s="28">
        <v>6</v>
      </c>
      <c r="E175" s="77" t="s">
        <v>97</v>
      </c>
      <c r="F175" s="28">
        <v>0.3</v>
      </c>
      <c r="G175" s="28">
        <v>4.3</v>
      </c>
      <c r="H175" s="22">
        <v>-4</v>
      </c>
      <c r="I175" s="25">
        <f>IF(Data!I175&lt;=QUARTILE(Data!I$4:I$195,1),1,IF(Data!I175&lt;=MEDIAN(Data!I$4:I$195),2,IF(Data!I175&lt;=QUARTILE(Data!I$4:I$195,3),3,4)))</f>
        <v>4</v>
      </c>
      <c r="J175" s="28">
        <f>IF(Data!J175&lt;=QUARTILE(Data!J$4:J$195,1),1,IF(Data!J175&lt;=MEDIAN(Data!J$4:J$195),2,IF(Data!J175&lt;=QUARTILE(Data!J$4:J$195,3),3,4)))</f>
        <v>4</v>
      </c>
      <c r="K175" s="28">
        <f>IF(Data!K175&lt;=QUARTILE(Data!K$4:K$195,1),1,IF(Data!K175&lt;=MEDIAN(Data!K$4:K$195),2,IF(Data!K175&lt;=QUARTILE(Data!K$4:K$195,3),3,4)))</f>
        <v>4</v>
      </c>
      <c r="L175" s="22">
        <f>IF(Data!L175&lt;=QUARTILE(Data!L$4:L$195,1),1,IF(Data!L175&lt;=MEDIAN(Data!L$4:L$195),2,IF(Data!L175&lt;=QUARTILE(Data!L$4:L$195,3),3,4)))</f>
        <v>4</v>
      </c>
      <c r="M175" s="28">
        <f>IF(Data!M175&lt;=QUARTILE(Data!M$4:M$195,1),1,IF(Data!M175&lt;=MEDIAN(Data!M$4:M$195),2,IF(Data!M175&lt;=QUARTILE(Data!M$4:M$195,3),3,4)))</f>
        <v>4</v>
      </c>
      <c r="N175" s="28">
        <f>IF(Data!N175&lt;=QUARTILE(Data!N$4:N$195,1),1,IF(Data!N175&lt;=MEDIAN(Data!N$4:N$195),2,IF(Data!N175&lt;=QUARTILE(Data!N$4:N$195,3),3,4)))</f>
        <v>4</v>
      </c>
      <c r="O175" s="28">
        <f>IF(Data!O175&lt;=QUARTILE(Data!O$4:O$195,1),1,IF(Data!O175&lt;=MEDIAN(Data!O$4:O$195),2,IF(Data!O175&lt;=QUARTILE(Data!O$4:O$195,3),3,4)))</f>
        <v>4</v>
      </c>
      <c r="P175" s="28">
        <f>IF(Data!P175&lt;=QUARTILE(Data!P$4:P$195,1),1,IF(Data!P175&lt;=MEDIAN(Data!P$4:P$195),2,IF(Data!P175&lt;=QUARTILE(Data!P$4:P$195,3),3,4)))</f>
        <v>4</v>
      </c>
      <c r="Q175" s="28">
        <f>IF(Data!Q175&lt;=QUARTILE(Data!Q$4:Q$195,1),1,IF(Data!Q175&lt;=MEDIAN(Data!Q$4:Q$195),2,IF(Data!Q175&lt;=QUARTILE(Data!Q$4:Q$195,3),3,4)))</f>
        <v>4</v>
      </c>
      <c r="R175" s="28">
        <f>IF(Data!R175&lt;=QUARTILE(Data!R$4:R$195,1),1,IF(Data!R175&lt;=MEDIAN(Data!R$4:R$195),2,IF(Data!R175&lt;=QUARTILE(Data!R$4:R$195,3),3,4)))</f>
        <v>4</v>
      </c>
      <c r="S175" s="28">
        <f>IF(Data!S175&lt;=QUARTILE(Data!S$4:S$195,1),1,IF(Data!S175&lt;=MEDIAN(Data!S$4:S$195),2,IF(Data!S175&lt;=QUARTILE(Data!S$4:S$195,3),3,4)))</f>
        <v>1</v>
      </c>
      <c r="T175" s="22">
        <f>IF(Data!T175&lt;=QUARTILE(Data!T$4:T$195,1),1,IF(Data!T175&lt;=MEDIAN(Data!T$4:T$195),2,IF(Data!T175&lt;=QUARTILE(Data!T$4:T$195,3),3,4)))</f>
        <v>1</v>
      </c>
      <c r="U175" s="25">
        <f>IF(Data!U175&lt;=QUARTILE(Data!U$4:U$195,1),1,IF(Data!U175&lt;=MEDIAN(Data!U$4:U$195),2,IF(Data!U175&lt;=QUARTILE(Data!U$4:U$195,3),3,4)))</f>
        <v>3</v>
      </c>
      <c r="V175" s="28">
        <f>IF(Data!V175&lt;=QUARTILE(Data!V$4:V$195,1),1,IF(Data!V175&lt;=MEDIAN(Data!V$4:V$195),2,IF(Data!V175&lt;=QUARTILE(Data!V$4:V$195,3),3,4)))</f>
        <v>3</v>
      </c>
      <c r="W175" s="28">
        <f>IF(Data!W175&lt;=QUARTILE(Data!W$4:W$195,1),1,IF(Data!W175&lt;=MEDIAN(Data!W$4:W$195),2,IF(Data!W175&lt;=QUARTILE(Data!W$4:W$195,3),3,4)))</f>
        <v>1</v>
      </c>
      <c r="X175" s="22">
        <f>IF(Data!X175&lt;=QUARTILE(Data!X$4:X$195,1),1,IF(Data!X175&lt;=MEDIAN(Data!X$4:X$195),2,IF(Data!X175&lt;=QUARTILE(Data!X$4:X$195,3),3,4)))</f>
        <v>3</v>
      </c>
      <c r="Y175" s="33">
        <f>IF(Data!Y175&lt;=QUARTILE(Data!Y$4:Y$195,1),1,IF(Data!Y175&lt;=MEDIAN(Data!Y$4:Y$195),2,IF(Data!Y175&lt;=QUARTILE(Data!Y$4:Y$195,3),3,4)))</f>
        <v>3</v>
      </c>
      <c r="Z175" s="34">
        <f>IF(Data!Z175&lt;=QUARTILE(Data!Z$4:Z$195,1),1,IF(Data!Z175&lt;=MEDIAN(Data!Z$4:Z$195),2,IF(Data!Z175&lt;=QUARTILE(Data!Z$4:Z$195,3),3,4)))</f>
        <v>1</v>
      </c>
      <c r="AA175" s="25">
        <f>IF(Data!AA175&lt;=QUARTILE(Data!AA$4:AA$195,1),1,IF(Data!AA175&lt;=MEDIAN(Data!AA$4:AA$195),2,IF(Data!AA175&lt;=QUARTILE(Data!AA$4:AA$195,3),3,4)))</f>
        <v>2</v>
      </c>
      <c r="AB175" s="22">
        <f>IF(Data!AB175&lt;=QUARTILE(Data!AB$4:AB$195,1),1,IF(Data!AB175&lt;=MEDIAN(Data!AB$4:AB$195),2,IF(Data!AB175&lt;=QUARTILE(Data!AB$4:AB$195,3),3,4)))</f>
        <v>2</v>
      </c>
      <c r="AC175" s="25">
        <f>IF(Data!AC175&lt;=QUARTILE(Data!AC$4:AC$195,1),1,IF(Data!AC175&lt;=MEDIAN(Data!AC$4:AC$195),2,IF(Data!AC175&lt;=QUARTILE(Data!AC$4:AC$195,3),3,4)))</f>
        <v>3</v>
      </c>
      <c r="AD175" s="22">
        <f>IF(Data!AD175&lt;=QUARTILE(Data!AD$4:AD$195,1),1,IF(Data!AD175&lt;=MEDIAN(Data!AD$4:AD$195),2,IF(Data!AD175&lt;=QUARTILE(Data!AD$4:AD$195,3),3,4)))</f>
        <v>3</v>
      </c>
      <c r="AE175" s="28">
        <f>IF(Data!AE175&lt;=QUARTILE(Data!AE$4:AE$195,1),1,IF(Data!AE175&lt;=MEDIAN(Data!AE$4:AE$195),2,IF(Data!AE175&lt;=QUARTILE(Data!AE$4:AE$195,3),3,4)))</f>
        <v>2</v>
      </c>
      <c r="AF175" s="28">
        <f>IF(Data!AF175&lt;=QUARTILE(Data!AF$4:AF$195,1),1,IF(Data!AF175&lt;=MEDIAN(Data!AF$4:AF$195),2,IF(Data!AF175&lt;=QUARTILE(Data!AF$4:AF$195,3),3,4)))</f>
        <v>2</v>
      </c>
      <c r="AG175" s="28">
        <f>IF(Data!AG175&lt;=QUARTILE(Data!AG$4:AG$195,1),1,IF(Data!AG175&lt;=MEDIAN(Data!AG$4:AG$195),2,IF(Data!AG175&lt;=QUARTILE(Data!AG$4:AG$195,3),3,4)))</f>
        <v>2</v>
      </c>
      <c r="AH175" s="22">
        <f>IF(Data!AH175&lt;=QUARTILE(Data!AH$4:AH$195,1),1,IF(Data!AH175&lt;=MEDIAN(Data!AH$4:AH$195),2,IF(Data!AH175&lt;=QUARTILE(Data!AH$4:AH$195,3),3,4)))</f>
        <v>2</v>
      </c>
      <c r="AI175" s="25">
        <f>IF(Data!AI175&lt;=QUARTILE(Data!AI$4:AI$195,1),1,IF(Data!AI175&lt;=MEDIAN(Data!AI$4:AI$195),2,IF(Data!AI175&lt;=QUARTILE(Data!AI$4:AI$195,3),3,4)))</f>
        <v>1</v>
      </c>
      <c r="AJ175" s="22">
        <f>IF(Data!AJ175&lt;=QUARTILE(Data!AJ$4:AJ$195,1),1,IF(Data!AJ175&lt;=MEDIAN(Data!AJ$4:AJ$195),2,IF(Data!AJ175&lt;=QUARTILE(Data!AJ$4:AJ$195,3),3,4)))</f>
        <v>2</v>
      </c>
      <c r="AK175" s="25">
        <f>IF(Data!AK175&lt;=QUARTILE(Data!AK$4:AK$195,1),1,IF(Data!AK175&lt;=MEDIAN(Data!AK$4:AK$195),2,IF(Data!AK175&lt;=QUARTILE(Data!AK$4:AK$195,3),3,4)))</f>
        <v>3</v>
      </c>
      <c r="AL175" s="28">
        <f>IF(Data!AL175&lt;=QUARTILE(Data!AL$4:AL$195,1),1,IF(Data!AL175&lt;=MEDIAN(Data!AL$4:AL$195),2,IF(Data!AL175&lt;=QUARTILE(Data!AL$4:AL$195,3),3,4)))</f>
        <v>4</v>
      </c>
      <c r="AM175" s="28">
        <f>IF(Data!AM175&lt;=QUARTILE(Data!AM$4:AM$195,1),1,IF(Data!AM175&lt;=MEDIAN(Data!AM$4:AM$195),2,IF(Data!AM175&lt;=QUARTILE(Data!AM$4:AM$195,3),3,4)))</f>
        <v>1</v>
      </c>
      <c r="AN175" s="22">
        <f>IF(Data!AN175&lt;=QUARTILE(Data!AN$4:AN$195,1),1,IF(Data!AN175&lt;=MEDIAN(Data!AN$4:AN$195),2,IF(Data!AN175&lt;=QUARTILE(Data!AN$4:AN$195,3),3,4)))</f>
        <v>3</v>
      </c>
      <c r="AO175" s="28">
        <f>IF(Data!AO175&lt;=QUARTILE(Data!AO$4:AO$195,1),1,IF(Data!AO175&lt;=MEDIAN(Data!AO$4:AO$195),2,IF(Data!AO175&lt;=QUARTILE(Data!AO$4:AO$195,3),3,4)))</f>
        <v>2</v>
      </c>
      <c r="AP175" s="28">
        <f>IF(Data!AP175&lt;=QUARTILE(Data!AP$4:AP$195,1),1,IF(Data!AP175&lt;=MEDIAN(Data!AP$4:AP$195),2,IF(Data!AP175&lt;=QUARTILE(Data!AP$4:AP$195,3),3,4)))</f>
        <v>2</v>
      </c>
      <c r="AQ175" s="28">
        <f>IF(Data!AQ175&lt;=QUARTILE(Data!AQ$4:AQ$195,1),1,IF(Data!AQ175&lt;=MEDIAN(Data!AQ$4:AQ$195),2,IF(Data!AQ175&lt;=QUARTILE(Data!AQ$4:AQ$195,3),3,4)))</f>
        <v>4</v>
      </c>
      <c r="AR175" s="28">
        <f>IF(Data!AR175&lt;=QUARTILE(Data!AR$4:AR$195,1),1,IF(Data!AR175&lt;=MEDIAN(Data!AR$4:AR$195),2,IF(Data!AR175&lt;=QUARTILE(Data!AR$4:AR$195,3),3,4)))</f>
        <v>4</v>
      </c>
      <c r="AS175" s="28">
        <f>IF(Data!AS175&lt;=QUARTILE(Data!AS$4:AS$195,1),1,IF(Data!AS175&lt;=MEDIAN(Data!AS$4:AS$195),2,IF(Data!AS175&lt;=QUARTILE(Data!AS$4:AS$195,3),3,4)))</f>
        <v>3</v>
      </c>
      <c r="AT175" s="28">
        <f>IF(Data!AT175&lt;=QUARTILE(Data!AT$4:AT$195,1),1,IF(Data!AT175&lt;=MEDIAN(Data!AT$4:AT$195),2,IF(Data!AT175&lt;=QUARTILE(Data!AT$4:AT$195,3),3,4)))</f>
        <v>3</v>
      </c>
      <c r="AU175" s="22">
        <f>IF(Data!AU175&lt;=QUARTILE(Data!AU$4:AU$195,1),1,IF(Data!AU175&lt;=MEDIAN(Data!AU$4:AU$195),2,IF(Data!AU175&lt;=QUARTILE(Data!AU$4:AU$195,3),3,4)))</f>
        <v>4</v>
      </c>
      <c r="AV175" s="25">
        <f>IF(Data!AV175&lt;=QUARTILE(Data!AV$4:AV$195,1),1,IF(Data!AV175&lt;=MEDIAN(Data!AV$4:AV$195),2,IF(Data!AV175&lt;=QUARTILE(Data!AV$4:AV$195,3),3,4)))</f>
        <v>1</v>
      </c>
      <c r="AW175" s="28">
        <f>IF(Data!AW175&lt;=QUARTILE(Data!AW$4:AW$195,1),1,IF(Data!AW175&lt;=MEDIAN(Data!AW$4:AW$195),2,IF(Data!AW175&lt;=QUARTILE(Data!AW$4:AW$195,3),3,4)))</f>
        <v>3</v>
      </c>
      <c r="AX175" s="28">
        <f>IF(Data!AX175&lt;=QUARTILE(Data!AX$4:AX$195,1),1,IF(Data!AX175&lt;=MEDIAN(Data!AX$4:AX$195),2,IF(Data!AX175&lt;=QUARTILE(Data!AX$4:AX$195,3),3,4)))</f>
        <v>2</v>
      </c>
      <c r="AY175" s="22">
        <f>IF(Data!AY175&lt;=QUARTILE(Data!AY$4:AY$195,1),1,IF(Data!AY175&lt;=MEDIAN(Data!AY$4:AY$195),2,IF(Data!AY175&lt;=QUARTILE(Data!AY$4:AY$195,3),3,4)))</f>
        <v>2</v>
      </c>
      <c r="AZ175" s="25">
        <f>IF(Data!AZ175&lt;=QUARTILE(Data!AZ$4:AZ$195,1),1,IF(Data!AZ175&lt;=MEDIAN(Data!AZ$4:AZ$195),2,IF(Data!AZ175&lt;=QUARTILE(Data!AZ$4:AZ$195,3),3,4)))</f>
        <v>1</v>
      </c>
      <c r="BA175" s="22">
        <f>IF(Data!BA175&lt;=QUARTILE(Data!BA$4:BA$195,1),1,IF(Data!BA175&lt;=MEDIAN(Data!BA$4:BA$195),2,IF(Data!BA175&lt;=QUARTILE(Data!BA$4:BA$195,3),3,4)))</f>
        <v>1</v>
      </c>
    </row>
    <row r="176" spans="1:53" x14ac:dyDescent="0.25">
      <c r="A176" s="4" t="s">
        <v>12</v>
      </c>
      <c r="B176" s="40">
        <v>2004</v>
      </c>
      <c r="C176" s="25">
        <v>7</v>
      </c>
      <c r="D176" s="28">
        <v>9</v>
      </c>
      <c r="E176" s="77" t="s">
        <v>96</v>
      </c>
      <c r="F176" s="28">
        <v>-0.6</v>
      </c>
      <c r="G176" s="28">
        <v>-2.4</v>
      </c>
      <c r="H176" s="22">
        <v>1.8</v>
      </c>
      <c r="I176" s="25">
        <f>IF(Data!I176&lt;=QUARTILE(Data!I$4:I$195,1),1,IF(Data!I176&lt;=MEDIAN(Data!I$4:I$195),2,IF(Data!I176&lt;=QUARTILE(Data!I$4:I$195,3),3,4)))</f>
        <v>2</v>
      </c>
      <c r="J176" s="28">
        <f>IF(Data!J176&lt;=QUARTILE(Data!J$4:J$195,1),1,IF(Data!J176&lt;=MEDIAN(Data!J$4:J$195),2,IF(Data!J176&lt;=QUARTILE(Data!J$4:J$195,3),3,4)))</f>
        <v>2</v>
      </c>
      <c r="K176" s="28">
        <f>IF(Data!K176&lt;=QUARTILE(Data!K$4:K$195,1),1,IF(Data!K176&lt;=MEDIAN(Data!K$4:K$195),2,IF(Data!K176&lt;=QUARTILE(Data!K$4:K$195,3),3,4)))</f>
        <v>2</v>
      </c>
      <c r="L176" s="22">
        <f>IF(Data!L176&lt;=QUARTILE(Data!L$4:L$195,1),1,IF(Data!L176&lt;=MEDIAN(Data!L$4:L$195),2,IF(Data!L176&lt;=QUARTILE(Data!L$4:L$195,3),3,4)))</f>
        <v>3</v>
      </c>
      <c r="M176" s="28">
        <f>IF(Data!M176&lt;=QUARTILE(Data!M$4:M$195,1),1,IF(Data!M176&lt;=MEDIAN(Data!M$4:M$195),2,IF(Data!M176&lt;=QUARTILE(Data!M$4:M$195,3),3,4)))</f>
        <v>2</v>
      </c>
      <c r="N176" s="28">
        <f>IF(Data!N176&lt;=QUARTILE(Data!N$4:N$195,1),1,IF(Data!N176&lt;=MEDIAN(Data!N$4:N$195),2,IF(Data!N176&lt;=QUARTILE(Data!N$4:N$195,3),3,4)))</f>
        <v>1</v>
      </c>
      <c r="O176" s="28">
        <f>IF(Data!O176&lt;=QUARTILE(Data!O$4:O$195,1),1,IF(Data!O176&lt;=MEDIAN(Data!O$4:O$195),2,IF(Data!O176&lt;=QUARTILE(Data!O$4:O$195,3),3,4)))</f>
        <v>2</v>
      </c>
      <c r="P176" s="28">
        <f>IF(Data!P176&lt;=QUARTILE(Data!P$4:P$195,1),1,IF(Data!P176&lt;=MEDIAN(Data!P$4:P$195),2,IF(Data!P176&lt;=QUARTILE(Data!P$4:P$195,3),3,4)))</f>
        <v>1</v>
      </c>
      <c r="Q176" s="28">
        <f>IF(Data!Q176&lt;=QUARTILE(Data!Q$4:Q$195,1),1,IF(Data!Q176&lt;=MEDIAN(Data!Q$4:Q$195),2,IF(Data!Q176&lt;=QUARTILE(Data!Q$4:Q$195,3),3,4)))</f>
        <v>3</v>
      </c>
      <c r="R176" s="28">
        <f>IF(Data!R176&lt;=QUARTILE(Data!R$4:R$195,1),1,IF(Data!R176&lt;=MEDIAN(Data!R$4:R$195),2,IF(Data!R176&lt;=QUARTILE(Data!R$4:R$195,3),3,4)))</f>
        <v>3</v>
      </c>
      <c r="S176" s="28">
        <f>IF(Data!S176&lt;=QUARTILE(Data!S$4:S$195,1),1,IF(Data!S176&lt;=MEDIAN(Data!S$4:S$195),2,IF(Data!S176&lt;=QUARTILE(Data!S$4:S$195,3),3,4)))</f>
        <v>4</v>
      </c>
      <c r="T176" s="22">
        <f>IF(Data!T176&lt;=QUARTILE(Data!T$4:T$195,1),1,IF(Data!T176&lt;=MEDIAN(Data!T$4:T$195),2,IF(Data!T176&lt;=QUARTILE(Data!T$4:T$195,3),3,4)))</f>
        <v>4</v>
      </c>
      <c r="U176" s="25">
        <f>IF(Data!U176&lt;=QUARTILE(Data!U$4:U$195,1),1,IF(Data!U176&lt;=MEDIAN(Data!U$4:U$195),2,IF(Data!U176&lt;=QUARTILE(Data!U$4:U$195,3),3,4)))</f>
        <v>3</v>
      </c>
      <c r="V176" s="28">
        <f>IF(Data!V176&lt;=QUARTILE(Data!V$4:V$195,1),1,IF(Data!V176&lt;=MEDIAN(Data!V$4:V$195),2,IF(Data!V176&lt;=QUARTILE(Data!V$4:V$195,3),3,4)))</f>
        <v>3</v>
      </c>
      <c r="W176" s="28">
        <f>IF(Data!W176&lt;=QUARTILE(Data!W$4:W$195,1),1,IF(Data!W176&lt;=MEDIAN(Data!W$4:W$195),2,IF(Data!W176&lt;=QUARTILE(Data!W$4:W$195,3),3,4)))</f>
        <v>3</v>
      </c>
      <c r="X176" s="22">
        <f>IF(Data!X176&lt;=QUARTILE(Data!X$4:X$195,1),1,IF(Data!X176&lt;=MEDIAN(Data!X$4:X$195),2,IF(Data!X176&lt;=QUARTILE(Data!X$4:X$195,3),3,4)))</f>
        <v>3</v>
      </c>
      <c r="Y176" s="33">
        <f>IF(Data!Y176&lt;=QUARTILE(Data!Y$4:Y$195,1),1,IF(Data!Y176&lt;=MEDIAN(Data!Y$4:Y$195),2,IF(Data!Y176&lt;=QUARTILE(Data!Y$4:Y$195,3),3,4)))</f>
        <v>2</v>
      </c>
      <c r="Z176" s="34">
        <f>IF(Data!Z176&lt;=QUARTILE(Data!Z$4:Z$195,1),1,IF(Data!Z176&lt;=MEDIAN(Data!Z$4:Z$195),2,IF(Data!Z176&lt;=QUARTILE(Data!Z$4:Z$195,3),3,4)))</f>
        <v>2</v>
      </c>
      <c r="AA176" s="25">
        <f>IF(Data!AA176&lt;=QUARTILE(Data!AA$4:AA$195,1),1,IF(Data!AA176&lt;=MEDIAN(Data!AA$4:AA$195),2,IF(Data!AA176&lt;=QUARTILE(Data!AA$4:AA$195,3),3,4)))</f>
        <v>3</v>
      </c>
      <c r="AB176" s="22">
        <f>IF(Data!AB176&lt;=QUARTILE(Data!AB$4:AB$195,1),1,IF(Data!AB176&lt;=MEDIAN(Data!AB$4:AB$195),2,IF(Data!AB176&lt;=QUARTILE(Data!AB$4:AB$195,3),3,4)))</f>
        <v>3</v>
      </c>
      <c r="AC176" s="25">
        <f>IF(Data!AC176&lt;=QUARTILE(Data!AC$4:AC$195,1),1,IF(Data!AC176&lt;=MEDIAN(Data!AC$4:AC$195),2,IF(Data!AC176&lt;=QUARTILE(Data!AC$4:AC$195,3),3,4)))</f>
        <v>3</v>
      </c>
      <c r="AD176" s="22">
        <f>IF(Data!AD176&lt;=QUARTILE(Data!AD$4:AD$195,1),1,IF(Data!AD176&lt;=MEDIAN(Data!AD$4:AD$195),2,IF(Data!AD176&lt;=QUARTILE(Data!AD$4:AD$195,3),3,4)))</f>
        <v>2</v>
      </c>
      <c r="AE176" s="28">
        <f>IF(Data!AE176&lt;=QUARTILE(Data!AE$4:AE$195,1),1,IF(Data!AE176&lt;=MEDIAN(Data!AE$4:AE$195),2,IF(Data!AE176&lt;=QUARTILE(Data!AE$4:AE$195,3),3,4)))</f>
        <v>1</v>
      </c>
      <c r="AF176" s="28">
        <f>IF(Data!AF176&lt;=QUARTILE(Data!AF$4:AF$195,1),1,IF(Data!AF176&lt;=MEDIAN(Data!AF$4:AF$195),2,IF(Data!AF176&lt;=QUARTILE(Data!AF$4:AF$195,3),3,4)))</f>
        <v>1</v>
      </c>
      <c r="AG176" s="28">
        <f>IF(Data!AG176&lt;=QUARTILE(Data!AG$4:AG$195,1),1,IF(Data!AG176&lt;=MEDIAN(Data!AG$4:AG$195),2,IF(Data!AG176&lt;=QUARTILE(Data!AG$4:AG$195,3),3,4)))</f>
        <v>3</v>
      </c>
      <c r="AH176" s="22">
        <f>IF(Data!AH176&lt;=QUARTILE(Data!AH$4:AH$195,1),1,IF(Data!AH176&lt;=MEDIAN(Data!AH$4:AH$195),2,IF(Data!AH176&lt;=QUARTILE(Data!AH$4:AH$195,3),3,4)))</f>
        <v>2</v>
      </c>
      <c r="AI176" s="25">
        <f>IF(Data!AI176&lt;=QUARTILE(Data!AI$4:AI$195,1),1,IF(Data!AI176&lt;=MEDIAN(Data!AI$4:AI$195),2,IF(Data!AI176&lt;=QUARTILE(Data!AI$4:AI$195,3),3,4)))</f>
        <v>2</v>
      </c>
      <c r="AJ176" s="22">
        <f>IF(Data!AJ176&lt;=QUARTILE(Data!AJ$4:AJ$195,1),1,IF(Data!AJ176&lt;=MEDIAN(Data!AJ$4:AJ$195),2,IF(Data!AJ176&lt;=QUARTILE(Data!AJ$4:AJ$195,3),3,4)))</f>
        <v>2</v>
      </c>
      <c r="AK176" s="25">
        <f>IF(Data!AK176&lt;=QUARTILE(Data!AK$4:AK$195,1),1,IF(Data!AK176&lt;=MEDIAN(Data!AK$4:AK$195),2,IF(Data!AK176&lt;=QUARTILE(Data!AK$4:AK$195,3),3,4)))</f>
        <v>2</v>
      </c>
      <c r="AL176" s="28">
        <f>IF(Data!AL176&lt;=QUARTILE(Data!AL$4:AL$195,1),1,IF(Data!AL176&lt;=MEDIAN(Data!AL$4:AL$195),2,IF(Data!AL176&lt;=QUARTILE(Data!AL$4:AL$195,3),3,4)))</f>
        <v>3</v>
      </c>
      <c r="AM176" s="28">
        <f>IF(Data!AM176&lt;=QUARTILE(Data!AM$4:AM$195,1),1,IF(Data!AM176&lt;=MEDIAN(Data!AM$4:AM$195),2,IF(Data!AM176&lt;=QUARTILE(Data!AM$4:AM$195,3),3,4)))</f>
        <v>1</v>
      </c>
      <c r="AN176" s="22">
        <f>IF(Data!AN176&lt;=QUARTILE(Data!AN$4:AN$195,1),1,IF(Data!AN176&lt;=MEDIAN(Data!AN$4:AN$195),2,IF(Data!AN176&lt;=QUARTILE(Data!AN$4:AN$195,3),3,4)))</f>
        <v>3</v>
      </c>
      <c r="AO176" s="28">
        <f>IF(Data!AO176&lt;=QUARTILE(Data!AO$4:AO$195,1),1,IF(Data!AO176&lt;=MEDIAN(Data!AO$4:AO$195),2,IF(Data!AO176&lt;=QUARTILE(Data!AO$4:AO$195,3),3,4)))</f>
        <v>4</v>
      </c>
      <c r="AP176" s="28">
        <f>IF(Data!AP176&lt;=QUARTILE(Data!AP$4:AP$195,1),1,IF(Data!AP176&lt;=MEDIAN(Data!AP$4:AP$195),2,IF(Data!AP176&lt;=QUARTILE(Data!AP$4:AP$195,3),3,4)))</f>
        <v>3</v>
      </c>
      <c r="AQ176" s="28">
        <f>IF(Data!AQ176&lt;=QUARTILE(Data!AQ$4:AQ$195,1),1,IF(Data!AQ176&lt;=MEDIAN(Data!AQ$4:AQ$195),2,IF(Data!AQ176&lt;=QUARTILE(Data!AQ$4:AQ$195,3),3,4)))</f>
        <v>3</v>
      </c>
      <c r="AR176" s="28">
        <f>IF(Data!AR176&lt;=QUARTILE(Data!AR$4:AR$195,1),1,IF(Data!AR176&lt;=MEDIAN(Data!AR$4:AR$195),2,IF(Data!AR176&lt;=QUARTILE(Data!AR$4:AR$195,3),3,4)))</f>
        <v>4</v>
      </c>
      <c r="AS176" s="28">
        <f>IF(Data!AS176&lt;=QUARTILE(Data!AS$4:AS$195,1),1,IF(Data!AS176&lt;=MEDIAN(Data!AS$4:AS$195),2,IF(Data!AS176&lt;=QUARTILE(Data!AS$4:AS$195,3),3,4)))</f>
        <v>4</v>
      </c>
      <c r="AT176" s="28">
        <f>IF(Data!AT176&lt;=QUARTILE(Data!AT$4:AT$195,1),1,IF(Data!AT176&lt;=MEDIAN(Data!AT$4:AT$195),2,IF(Data!AT176&lt;=QUARTILE(Data!AT$4:AT$195,3),3,4)))</f>
        <v>1</v>
      </c>
      <c r="AU176" s="22">
        <f>IF(Data!AU176&lt;=QUARTILE(Data!AU$4:AU$195,1),1,IF(Data!AU176&lt;=MEDIAN(Data!AU$4:AU$195),2,IF(Data!AU176&lt;=QUARTILE(Data!AU$4:AU$195,3),3,4)))</f>
        <v>1</v>
      </c>
      <c r="AV176" s="25">
        <f>IF(Data!AV176&lt;=QUARTILE(Data!AV$4:AV$195,1),1,IF(Data!AV176&lt;=MEDIAN(Data!AV$4:AV$195),2,IF(Data!AV176&lt;=QUARTILE(Data!AV$4:AV$195,3),3,4)))</f>
        <v>2</v>
      </c>
      <c r="AW176" s="28">
        <f>IF(Data!AW176&lt;=QUARTILE(Data!AW$4:AW$195,1),1,IF(Data!AW176&lt;=MEDIAN(Data!AW$4:AW$195),2,IF(Data!AW176&lt;=QUARTILE(Data!AW$4:AW$195,3),3,4)))</f>
        <v>3</v>
      </c>
      <c r="AX176" s="28">
        <f>IF(Data!AX176&lt;=QUARTILE(Data!AX$4:AX$195,1),1,IF(Data!AX176&lt;=MEDIAN(Data!AX$4:AX$195),2,IF(Data!AX176&lt;=QUARTILE(Data!AX$4:AX$195,3),3,4)))</f>
        <v>1</v>
      </c>
      <c r="AY176" s="22">
        <f>IF(Data!AY176&lt;=QUARTILE(Data!AY$4:AY$195,1),1,IF(Data!AY176&lt;=MEDIAN(Data!AY$4:AY$195),2,IF(Data!AY176&lt;=QUARTILE(Data!AY$4:AY$195,3),3,4)))</f>
        <v>2</v>
      </c>
      <c r="AZ176" s="25">
        <f>IF(Data!AZ176&lt;=QUARTILE(Data!AZ$4:AZ$195,1),1,IF(Data!AZ176&lt;=MEDIAN(Data!AZ$4:AZ$195),2,IF(Data!AZ176&lt;=QUARTILE(Data!AZ$4:AZ$195,3),3,4)))</f>
        <v>4</v>
      </c>
      <c r="BA176" s="22">
        <f>IF(Data!BA176&lt;=QUARTILE(Data!BA$4:BA$195,1),1,IF(Data!BA176&lt;=MEDIAN(Data!BA$4:BA$195),2,IF(Data!BA176&lt;=QUARTILE(Data!BA$4:BA$195,3),3,4)))</f>
        <v>1</v>
      </c>
    </row>
    <row r="177" spans="1:53" x14ac:dyDescent="0.25">
      <c r="A177" s="4" t="s">
        <v>11</v>
      </c>
      <c r="B177" s="40">
        <v>2004</v>
      </c>
      <c r="C177" s="25">
        <v>12</v>
      </c>
      <c r="D177" s="28">
        <v>4</v>
      </c>
      <c r="E177" s="77" t="s">
        <v>97</v>
      </c>
      <c r="F177" s="28">
        <v>11.4</v>
      </c>
      <c r="G177" s="28">
        <v>11.7</v>
      </c>
      <c r="H177" s="22">
        <v>-0.3</v>
      </c>
      <c r="I177" s="25">
        <f>IF(Data!I177&lt;=QUARTILE(Data!I$4:I$195,1),1,IF(Data!I177&lt;=MEDIAN(Data!I$4:I$195),2,IF(Data!I177&lt;=QUARTILE(Data!I$4:I$195,3),3,4)))</f>
        <v>4</v>
      </c>
      <c r="J177" s="28">
        <f>IF(Data!J177&lt;=QUARTILE(Data!J$4:J$195,1),1,IF(Data!J177&lt;=MEDIAN(Data!J$4:J$195),2,IF(Data!J177&lt;=QUARTILE(Data!J$4:J$195,3),3,4)))</f>
        <v>4</v>
      </c>
      <c r="K177" s="28">
        <f>IF(Data!K177&lt;=QUARTILE(Data!K$4:K$195,1),1,IF(Data!K177&lt;=MEDIAN(Data!K$4:K$195),2,IF(Data!K177&lt;=QUARTILE(Data!K$4:K$195,3),3,4)))</f>
        <v>1</v>
      </c>
      <c r="L177" s="22">
        <f>IF(Data!L177&lt;=QUARTILE(Data!L$4:L$195,1),1,IF(Data!L177&lt;=MEDIAN(Data!L$4:L$195),2,IF(Data!L177&lt;=QUARTILE(Data!L$4:L$195,3),3,4)))</f>
        <v>4</v>
      </c>
      <c r="M177" s="28">
        <f>IF(Data!M177&lt;=QUARTILE(Data!M$4:M$195,1),1,IF(Data!M177&lt;=MEDIAN(Data!M$4:M$195),2,IF(Data!M177&lt;=QUARTILE(Data!M$4:M$195,3),3,4)))</f>
        <v>4</v>
      </c>
      <c r="N177" s="28">
        <f>IF(Data!N177&lt;=QUARTILE(Data!N$4:N$195,1),1,IF(Data!N177&lt;=MEDIAN(Data!N$4:N$195),2,IF(Data!N177&lt;=QUARTILE(Data!N$4:N$195,3),3,4)))</f>
        <v>3</v>
      </c>
      <c r="O177" s="28">
        <f>IF(Data!O177&lt;=QUARTILE(Data!O$4:O$195,1),1,IF(Data!O177&lt;=MEDIAN(Data!O$4:O$195),2,IF(Data!O177&lt;=QUARTILE(Data!O$4:O$195,3),3,4)))</f>
        <v>4</v>
      </c>
      <c r="P177" s="28">
        <f>IF(Data!P177&lt;=QUARTILE(Data!P$4:P$195,1),1,IF(Data!P177&lt;=MEDIAN(Data!P$4:P$195),2,IF(Data!P177&lt;=QUARTILE(Data!P$4:P$195,3),3,4)))</f>
        <v>4</v>
      </c>
      <c r="Q177" s="28">
        <f>IF(Data!Q177&lt;=QUARTILE(Data!Q$4:Q$195,1),1,IF(Data!Q177&lt;=MEDIAN(Data!Q$4:Q$195),2,IF(Data!Q177&lt;=QUARTILE(Data!Q$4:Q$195,3),3,4)))</f>
        <v>4</v>
      </c>
      <c r="R177" s="28">
        <f>IF(Data!R177&lt;=QUARTILE(Data!R$4:R$195,1),1,IF(Data!R177&lt;=MEDIAN(Data!R$4:R$195),2,IF(Data!R177&lt;=QUARTILE(Data!R$4:R$195,3),3,4)))</f>
        <v>4</v>
      </c>
      <c r="S177" s="28">
        <f>IF(Data!S177&lt;=QUARTILE(Data!S$4:S$195,1),1,IF(Data!S177&lt;=MEDIAN(Data!S$4:S$195),2,IF(Data!S177&lt;=QUARTILE(Data!S$4:S$195,3),3,4)))</f>
        <v>1</v>
      </c>
      <c r="T177" s="22">
        <f>IF(Data!T177&lt;=QUARTILE(Data!T$4:T$195,1),1,IF(Data!T177&lt;=MEDIAN(Data!T$4:T$195),2,IF(Data!T177&lt;=QUARTILE(Data!T$4:T$195,3),3,4)))</f>
        <v>1</v>
      </c>
      <c r="U177" s="25">
        <f>IF(Data!U177&lt;=QUARTILE(Data!U$4:U$195,1),1,IF(Data!U177&lt;=MEDIAN(Data!U$4:U$195),2,IF(Data!U177&lt;=QUARTILE(Data!U$4:U$195,3),3,4)))</f>
        <v>2</v>
      </c>
      <c r="V177" s="28">
        <f>IF(Data!V177&lt;=QUARTILE(Data!V$4:V$195,1),1,IF(Data!V177&lt;=MEDIAN(Data!V$4:V$195),2,IF(Data!V177&lt;=QUARTILE(Data!V$4:V$195,3),3,4)))</f>
        <v>3</v>
      </c>
      <c r="W177" s="28">
        <f>IF(Data!W177&lt;=QUARTILE(Data!W$4:W$195,1),1,IF(Data!W177&lt;=MEDIAN(Data!W$4:W$195),2,IF(Data!W177&lt;=QUARTILE(Data!W$4:W$195,3),3,4)))</f>
        <v>2</v>
      </c>
      <c r="X177" s="22">
        <f>IF(Data!X177&lt;=QUARTILE(Data!X$4:X$195,1),1,IF(Data!X177&lt;=MEDIAN(Data!X$4:X$195),2,IF(Data!X177&lt;=QUARTILE(Data!X$4:X$195,3),3,4)))</f>
        <v>2</v>
      </c>
      <c r="Y177" s="33">
        <f>IF(Data!Y177&lt;=QUARTILE(Data!Y$4:Y$195,1),1,IF(Data!Y177&lt;=MEDIAN(Data!Y$4:Y$195),2,IF(Data!Y177&lt;=QUARTILE(Data!Y$4:Y$195,3),3,4)))</f>
        <v>1</v>
      </c>
      <c r="Z177" s="34">
        <f>IF(Data!Z177&lt;=QUARTILE(Data!Z$4:Z$195,1),1,IF(Data!Z177&lt;=MEDIAN(Data!Z$4:Z$195),2,IF(Data!Z177&lt;=QUARTILE(Data!Z$4:Z$195,3),3,4)))</f>
        <v>1</v>
      </c>
      <c r="AA177" s="25">
        <f>IF(Data!AA177&lt;=QUARTILE(Data!AA$4:AA$195,1),1,IF(Data!AA177&lt;=MEDIAN(Data!AA$4:AA$195),2,IF(Data!AA177&lt;=QUARTILE(Data!AA$4:AA$195,3),3,4)))</f>
        <v>1</v>
      </c>
      <c r="AB177" s="22">
        <f>IF(Data!AB177&lt;=QUARTILE(Data!AB$4:AB$195,1),1,IF(Data!AB177&lt;=MEDIAN(Data!AB$4:AB$195),2,IF(Data!AB177&lt;=QUARTILE(Data!AB$4:AB$195,3),3,4)))</f>
        <v>1</v>
      </c>
      <c r="AC177" s="25">
        <f>IF(Data!AC177&lt;=QUARTILE(Data!AC$4:AC$195,1),1,IF(Data!AC177&lt;=MEDIAN(Data!AC$4:AC$195),2,IF(Data!AC177&lt;=QUARTILE(Data!AC$4:AC$195,3),3,4)))</f>
        <v>3</v>
      </c>
      <c r="AD177" s="22">
        <f>IF(Data!AD177&lt;=QUARTILE(Data!AD$4:AD$195,1),1,IF(Data!AD177&lt;=MEDIAN(Data!AD$4:AD$195),2,IF(Data!AD177&lt;=QUARTILE(Data!AD$4:AD$195,3),3,4)))</f>
        <v>3</v>
      </c>
      <c r="AE177" s="28">
        <f>IF(Data!AE177&lt;=QUARTILE(Data!AE$4:AE$195,1),1,IF(Data!AE177&lt;=MEDIAN(Data!AE$4:AE$195),2,IF(Data!AE177&lt;=QUARTILE(Data!AE$4:AE$195,3),3,4)))</f>
        <v>2</v>
      </c>
      <c r="AF177" s="28">
        <f>IF(Data!AF177&lt;=QUARTILE(Data!AF$4:AF$195,1),1,IF(Data!AF177&lt;=MEDIAN(Data!AF$4:AF$195),2,IF(Data!AF177&lt;=QUARTILE(Data!AF$4:AF$195,3),3,4)))</f>
        <v>2</v>
      </c>
      <c r="AG177" s="28">
        <f>IF(Data!AG177&lt;=QUARTILE(Data!AG$4:AG$195,1),1,IF(Data!AG177&lt;=MEDIAN(Data!AG$4:AG$195),2,IF(Data!AG177&lt;=QUARTILE(Data!AG$4:AG$195,3),3,4)))</f>
        <v>1</v>
      </c>
      <c r="AH177" s="22">
        <f>IF(Data!AH177&lt;=QUARTILE(Data!AH$4:AH$195,1),1,IF(Data!AH177&lt;=MEDIAN(Data!AH$4:AH$195),2,IF(Data!AH177&lt;=QUARTILE(Data!AH$4:AH$195,3),3,4)))</f>
        <v>1</v>
      </c>
      <c r="AI177" s="25">
        <f>IF(Data!AI177&lt;=QUARTILE(Data!AI$4:AI$195,1),1,IF(Data!AI177&lt;=MEDIAN(Data!AI$4:AI$195),2,IF(Data!AI177&lt;=QUARTILE(Data!AI$4:AI$195,3),3,4)))</f>
        <v>1</v>
      </c>
      <c r="AJ177" s="22">
        <f>IF(Data!AJ177&lt;=QUARTILE(Data!AJ$4:AJ$195,1),1,IF(Data!AJ177&lt;=MEDIAN(Data!AJ$4:AJ$195),2,IF(Data!AJ177&lt;=QUARTILE(Data!AJ$4:AJ$195,3),3,4)))</f>
        <v>2</v>
      </c>
      <c r="AK177" s="25">
        <f>IF(Data!AK177&lt;=QUARTILE(Data!AK$4:AK$195,1),1,IF(Data!AK177&lt;=MEDIAN(Data!AK$4:AK$195),2,IF(Data!AK177&lt;=QUARTILE(Data!AK$4:AK$195,3),3,4)))</f>
        <v>3</v>
      </c>
      <c r="AL177" s="28">
        <f>IF(Data!AL177&lt;=QUARTILE(Data!AL$4:AL$195,1),1,IF(Data!AL177&lt;=MEDIAN(Data!AL$4:AL$195),2,IF(Data!AL177&lt;=QUARTILE(Data!AL$4:AL$195,3),3,4)))</f>
        <v>4</v>
      </c>
      <c r="AM177" s="28">
        <f>IF(Data!AM177&lt;=QUARTILE(Data!AM$4:AM$195,1),1,IF(Data!AM177&lt;=MEDIAN(Data!AM$4:AM$195),2,IF(Data!AM177&lt;=QUARTILE(Data!AM$4:AM$195,3),3,4)))</f>
        <v>4</v>
      </c>
      <c r="AN177" s="22">
        <f>IF(Data!AN177&lt;=QUARTILE(Data!AN$4:AN$195,1),1,IF(Data!AN177&lt;=MEDIAN(Data!AN$4:AN$195),2,IF(Data!AN177&lt;=QUARTILE(Data!AN$4:AN$195,3),3,4)))</f>
        <v>4</v>
      </c>
      <c r="AO177" s="28">
        <f>IF(Data!AO177&lt;=QUARTILE(Data!AO$4:AO$195,1),1,IF(Data!AO177&lt;=MEDIAN(Data!AO$4:AO$195),2,IF(Data!AO177&lt;=QUARTILE(Data!AO$4:AO$195,3),3,4)))</f>
        <v>4</v>
      </c>
      <c r="AP177" s="28">
        <f>IF(Data!AP177&lt;=QUARTILE(Data!AP$4:AP$195,1),1,IF(Data!AP177&lt;=MEDIAN(Data!AP$4:AP$195),2,IF(Data!AP177&lt;=QUARTILE(Data!AP$4:AP$195,3),3,4)))</f>
        <v>4</v>
      </c>
      <c r="AQ177" s="28">
        <f>IF(Data!AQ177&lt;=QUARTILE(Data!AQ$4:AQ$195,1),1,IF(Data!AQ177&lt;=MEDIAN(Data!AQ$4:AQ$195),2,IF(Data!AQ177&lt;=QUARTILE(Data!AQ$4:AQ$195,3),3,4)))</f>
        <v>4</v>
      </c>
      <c r="AR177" s="28">
        <f>IF(Data!AR177&lt;=QUARTILE(Data!AR$4:AR$195,1),1,IF(Data!AR177&lt;=MEDIAN(Data!AR$4:AR$195),2,IF(Data!AR177&lt;=QUARTILE(Data!AR$4:AR$195,3),3,4)))</f>
        <v>4</v>
      </c>
      <c r="AS177" s="28">
        <f>IF(Data!AS177&lt;=QUARTILE(Data!AS$4:AS$195,1),1,IF(Data!AS177&lt;=MEDIAN(Data!AS$4:AS$195),2,IF(Data!AS177&lt;=QUARTILE(Data!AS$4:AS$195,3),3,4)))</f>
        <v>4</v>
      </c>
      <c r="AT177" s="28">
        <f>IF(Data!AT177&lt;=QUARTILE(Data!AT$4:AT$195,1),1,IF(Data!AT177&lt;=MEDIAN(Data!AT$4:AT$195),2,IF(Data!AT177&lt;=QUARTILE(Data!AT$4:AT$195,3),3,4)))</f>
        <v>4</v>
      </c>
      <c r="AU177" s="22">
        <f>IF(Data!AU177&lt;=QUARTILE(Data!AU$4:AU$195,1),1,IF(Data!AU177&lt;=MEDIAN(Data!AU$4:AU$195),2,IF(Data!AU177&lt;=QUARTILE(Data!AU$4:AU$195,3),3,4)))</f>
        <v>4</v>
      </c>
      <c r="AV177" s="25">
        <f>IF(Data!AV177&lt;=QUARTILE(Data!AV$4:AV$195,1),1,IF(Data!AV177&lt;=MEDIAN(Data!AV$4:AV$195),2,IF(Data!AV177&lt;=QUARTILE(Data!AV$4:AV$195,3),3,4)))</f>
        <v>2</v>
      </c>
      <c r="AW177" s="28">
        <f>IF(Data!AW177&lt;=QUARTILE(Data!AW$4:AW$195,1),1,IF(Data!AW177&lt;=MEDIAN(Data!AW$4:AW$195),2,IF(Data!AW177&lt;=QUARTILE(Data!AW$4:AW$195,3),3,4)))</f>
        <v>3</v>
      </c>
      <c r="AX177" s="28">
        <f>IF(Data!AX177&lt;=QUARTILE(Data!AX$4:AX$195,1),1,IF(Data!AX177&lt;=MEDIAN(Data!AX$4:AX$195),2,IF(Data!AX177&lt;=QUARTILE(Data!AX$4:AX$195,3),3,4)))</f>
        <v>2</v>
      </c>
      <c r="AY177" s="22">
        <f>IF(Data!AY177&lt;=QUARTILE(Data!AY$4:AY$195,1),1,IF(Data!AY177&lt;=MEDIAN(Data!AY$4:AY$195),2,IF(Data!AY177&lt;=QUARTILE(Data!AY$4:AY$195,3),3,4)))</f>
        <v>3</v>
      </c>
      <c r="AZ177" s="25">
        <f>IF(Data!AZ177&lt;=QUARTILE(Data!AZ$4:AZ$195,1),1,IF(Data!AZ177&lt;=MEDIAN(Data!AZ$4:AZ$195),2,IF(Data!AZ177&lt;=QUARTILE(Data!AZ$4:AZ$195,3),3,4)))</f>
        <v>3</v>
      </c>
      <c r="BA177" s="22">
        <f>IF(Data!BA177&lt;=QUARTILE(Data!BA$4:BA$195,1),1,IF(Data!BA177&lt;=MEDIAN(Data!BA$4:BA$195),2,IF(Data!BA177&lt;=QUARTILE(Data!BA$4:BA$195,3),3,4)))</f>
        <v>4</v>
      </c>
    </row>
    <row r="178" spans="1:53" x14ac:dyDescent="0.25">
      <c r="A178" s="4" t="s">
        <v>14</v>
      </c>
      <c r="B178" s="40">
        <v>2004</v>
      </c>
      <c r="C178" s="25">
        <v>9</v>
      </c>
      <c r="D178" s="28">
        <v>7</v>
      </c>
      <c r="E178" s="77" t="s">
        <v>96</v>
      </c>
      <c r="F178" s="28">
        <v>0.8</v>
      </c>
      <c r="G178" s="28">
        <v>-5.7</v>
      </c>
      <c r="H178" s="22">
        <v>6.4</v>
      </c>
      <c r="I178" s="25">
        <f>IF(Data!I178&lt;=QUARTILE(Data!I$4:I$195,1),1,IF(Data!I178&lt;=MEDIAN(Data!I$4:I$195),2,IF(Data!I178&lt;=QUARTILE(Data!I$4:I$195,3),3,4)))</f>
        <v>1</v>
      </c>
      <c r="J178" s="28">
        <f>IF(Data!J178&lt;=QUARTILE(Data!J$4:J$195,1),1,IF(Data!J178&lt;=MEDIAN(Data!J$4:J$195),2,IF(Data!J178&lt;=QUARTILE(Data!J$4:J$195,3),3,4)))</f>
        <v>2</v>
      </c>
      <c r="K178" s="28">
        <f>IF(Data!K178&lt;=QUARTILE(Data!K$4:K$195,1),1,IF(Data!K178&lt;=MEDIAN(Data!K$4:K$195),2,IF(Data!K178&lt;=QUARTILE(Data!K$4:K$195,3),3,4)))</f>
        <v>2</v>
      </c>
      <c r="L178" s="22">
        <f>IF(Data!L178&lt;=QUARTILE(Data!L$4:L$195,1),1,IF(Data!L178&lt;=MEDIAN(Data!L$4:L$195),2,IF(Data!L178&lt;=QUARTILE(Data!L$4:L$195,3),3,4)))</f>
        <v>2</v>
      </c>
      <c r="M178" s="28">
        <f>IF(Data!M178&lt;=QUARTILE(Data!M$4:M$195,1),1,IF(Data!M178&lt;=MEDIAN(Data!M$4:M$195),2,IF(Data!M178&lt;=QUARTILE(Data!M$4:M$195,3),3,4)))</f>
        <v>2</v>
      </c>
      <c r="N178" s="28">
        <f>IF(Data!N178&lt;=QUARTILE(Data!N$4:N$195,1),1,IF(Data!N178&lt;=MEDIAN(Data!N$4:N$195),2,IF(Data!N178&lt;=QUARTILE(Data!N$4:N$195,3),3,4)))</f>
        <v>2</v>
      </c>
      <c r="O178" s="28">
        <f>IF(Data!O178&lt;=QUARTILE(Data!O$4:O$195,1),1,IF(Data!O178&lt;=MEDIAN(Data!O$4:O$195),2,IF(Data!O178&lt;=QUARTILE(Data!O$4:O$195,3),3,4)))</f>
        <v>2</v>
      </c>
      <c r="P178" s="28">
        <f>IF(Data!P178&lt;=QUARTILE(Data!P$4:P$195,1),1,IF(Data!P178&lt;=MEDIAN(Data!P$4:P$195),2,IF(Data!P178&lt;=QUARTILE(Data!P$4:P$195,3),3,4)))</f>
        <v>2</v>
      </c>
      <c r="Q178" s="28">
        <f>IF(Data!Q178&lt;=QUARTILE(Data!Q$4:Q$195,1),1,IF(Data!Q178&lt;=MEDIAN(Data!Q$4:Q$195),2,IF(Data!Q178&lt;=QUARTILE(Data!Q$4:Q$195,3),3,4)))</f>
        <v>2</v>
      </c>
      <c r="R178" s="28">
        <f>IF(Data!R178&lt;=QUARTILE(Data!R$4:R$195,1),1,IF(Data!R178&lt;=MEDIAN(Data!R$4:R$195),2,IF(Data!R178&lt;=QUARTILE(Data!R$4:R$195,3),3,4)))</f>
        <v>2</v>
      </c>
      <c r="S178" s="28">
        <f>IF(Data!S178&lt;=QUARTILE(Data!S$4:S$195,1),1,IF(Data!S178&lt;=MEDIAN(Data!S$4:S$195),2,IF(Data!S178&lt;=QUARTILE(Data!S$4:S$195,3),3,4)))</f>
        <v>2</v>
      </c>
      <c r="T178" s="22">
        <f>IF(Data!T178&lt;=QUARTILE(Data!T$4:T$195,1),1,IF(Data!T178&lt;=MEDIAN(Data!T$4:T$195),2,IF(Data!T178&lt;=QUARTILE(Data!T$4:T$195,3),3,4)))</f>
        <v>1</v>
      </c>
      <c r="U178" s="25">
        <f>IF(Data!U178&lt;=QUARTILE(Data!U$4:U$195,1),1,IF(Data!U178&lt;=MEDIAN(Data!U$4:U$195),2,IF(Data!U178&lt;=QUARTILE(Data!U$4:U$195,3),3,4)))</f>
        <v>3</v>
      </c>
      <c r="V178" s="28">
        <f>IF(Data!V178&lt;=QUARTILE(Data!V$4:V$195,1),1,IF(Data!V178&lt;=MEDIAN(Data!V$4:V$195),2,IF(Data!V178&lt;=QUARTILE(Data!V$4:V$195,3),3,4)))</f>
        <v>3</v>
      </c>
      <c r="W178" s="28">
        <f>IF(Data!W178&lt;=QUARTILE(Data!W$4:W$195,1),1,IF(Data!W178&lt;=MEDIAN(Data!W$4:W$195),2,IF(Data!W178&lt;=QUARTILE(Data!W$4:W$195,3),3,4)))</f>
        <v>1</v>
      </c>
      <c r="X178" s="22">
        <f>IF(Data!X178&lt;=QUARTILE(Data!X$4:X$195,1),1,IF(Data!X178&lt;=MEDIAN(Data!X$4:X$195),2,IF(Data!X178&lt;=QUARTILE(Data!X$4:X$195,3),3,4)))</f>
        <v>2</v>
      </c>
      <c r="Y178" s="33">
        <f>IF(Data!Y178&lt;=QUARTILE(Data!Y$4:Y$195,1),1,IF(Data!Y178&lt;=MEDIAN(Data!Y$4:Y$195),2,IF(Data!Y178&lt;=QUARTILE(Data!Y$4:Y$195,3),3,4)))</f>
        <v>1</v>
      </c>
      <c r="Z178" s="34">
        <f>IF(Data!Z178&lt;=QUARTILE(Data!Z$4:Z$195,1),1,IF(Data!Z178&lt;=MEDIAN(Data!Z$4:Z$195),2,IF(Data!Z178&lt;=QUARTILE(Data!Z$4:Z$195,3),3,4)))</f>
        <v>2</v>
      </c>
      <c r="AA178" s="25">
        <f>IF(Data!AA178&lt;=QUARTILE(Data!AA$4:AA$195,1),1,IF(Data!AA178&lt;=MEDIAN(Data!AA$4:AA$195),2,IF(Data!AA178&lt;=QUARTILE(Data!AA$4:AA$195,3),3,4)))</f>
        <v>3</v>
      </c>
      <c r="AB178" s="22">
        <f>IF(Data!AB178&lt;=QUARTILE(Data!AB$4:AB$195,1),1,IF(Data!AB178&lt;=MEDIAN(Data!AB$4:AB$195),2,IF(Data!AB178&lt;=QUARTILE(Data!AB$4:AB$195,3),3,4)))</f>
        <v>4</v>
      </c>
      <c r="AC178" s="25">
        <f>IF(Data!AC178&lt;=QUARTILE(Data!AC$4:AC$195,1),1,IF(Data!AC178&lt;=MEDIAN(Data!AC$4:AC$195),2,IF(Data!AC178&lt;=QUARTILE(Data!AC$4:AC$195,3),3,4)))</f>
        <v>1</v>
      </c>
      <c r="AD178" s="22">
        <f>IF(Data!AD178&lt;=QUARTILE(Data!AD$4:AD$195,1),1,IF(Data!AD178&lt;=MEDIAN(Data!AD$4:AD$195),2,IF(Data!AD178&lt;=QUARTILE(Data!AD$4:AD$195,3),3,4)))</f>
        <v>1</v>
      </c>
      <c r="AE178" s="28">
        <f>IF(Data!AE178&lt;=QUARTILE(Data!AE$4:AE$195,1),1,IF(Data!AE178&lt;=MEDIAN(Data!AE$4:AE$195),2,IF(Data!AE178&lt;=QUARTILE(Data!AE$4:AE$195,3),3,4)))</f>
        <v>4</v>
      </c>
      <c r="AF178" s="28">
        <f>IF(Data!AF178&lt;=QUARTILE(Data!AF$4:AF$195,1),1,IF(Data!AF178&lt;=MEDIAN(Data!AF$4:AF$195),2,IF(Data!AF178&lt;=QUARTILE(Data!AF$4:AF$195,3),3,4)))</f>
        <v>3</v>
      </c>
      <c r="AG178" s="28">
        <f>IF(Data!AG178&lt;=QUARTILE(Data!AG$4:AG$195,1),1,IF(Data!AG178&lt;=MEDIAN(Data!AG$4:AG$195),2,IF(Data!AG178&lt;=QUARTILE(Data!AG$4:AG$195,3),3,4)))</f>
        <v>2</v>
      </c>
      <c r="AH178" s="22">
        <f>IF(Data!AH178&lt;=QUARTILE(Data!AH$4:AH$195,1),1,IF(Data!AH178&lt;=MEDIAN(Data!AH$4:AH$195),2,IF(Data!AH178&lt;=QUARTILE(Data!AH$4:AH$195,3),3,4)))</f>
        <v>1</v>
      </c>
      <c r="AI178" s="25">
        <f>IF(Data!AI178&lt;=QUARTILE(Data!AI$4:AI$195,1),1,IF(Data!AI178&lt;=MEDIAN(Data!AI$4:AI$195),2,IF(Data!AI178&lt;=QUARTILE(Data!AI$4:AI$195,3),3,4)))</f>
        <v>3</v>
      </c>
      <c r="AJ178" s="22">
        <f>IF(Data!AJ178&lt;=QUARTILE(Data!AJ$4:AJ$195,1),1,IF(Data!AJ178&lt;=MEDIAN(Data!AJ$4:AJ$195),2,IF(Data!AJ178&lt;=QUARTILE(Data!AJ$4:AJ$195,3),3,4)))</f>
        <v>4</v>
      </c>
      <c r="AK178" s="25">
        <f>IF(Data!AK178&lt;=QUARTILE(Data!AK$4:AK$195,1),1,IF(Data!AK178&lt;=MEDIAN(Data!AK$4:AK$195),2,IF(Data!AK178&lt;=QUARTILE(Data!AK$4:AK$195,3),3,4)))</f>
        <v>1</v>
      </c>
      <c r="AL178" s="28">
        <f>IF(Data!AL178&lt;=QUARTILE(Data!AL$4:AL$195,1),1,IF(Data!AL178&lt;=MEDIAN(Data!AL$4:AL$195),2,IF(Data!AL178&lt;=QUARTILE(Data!AL$4:AL$195,3),3,4)))</f>
        <v>2</v>
      </c>
      <c r="AM178" s="28">
        <f>IF(Data!AM178&lt;=QUARTILE(Data!AM$4:AM$195,1),1,IF(Data!AM178&lt;=MEDIAN(Data!AM$4:AM$195),2,IF(Data!AM178&lt;=QUARTILE(Data!AM$4:AM$195,3),3,4)))</f>
        <v>1</v>
      </c>
      <c r="AN178" s="22">
        <f>IF(Data!AN178&lt;=QUARTILE(Data!AN$4:AN$195,1),1,IF(Data!AN178&lt;=MEDIAN(Data!AN$4:AN$195),2,IF(Data!AN178&lt;=QUARTILE(Data!AN$4:AN$195,3),3,4)))</f>
        <v>2</v>
      </c>
      <c r="AO178" s="28">
        <f>IF(Data!AO178&lt;=QUARTILE(Data!AO$4:AO$195,1),1,IF(Data!AO178&lt;=MEDIAN(Data!AO$4:AO$195),2,IF(Data!AO178&lt;=QUARTILE(Data!AO$4:AO$195,3),3,4)))</f>
        <v>2</v>
      </c>
      <c r="AP178" s="28">
        <f>IF(Data!AP178&lt;=QUARTILE(Data!AP$4:AP$195,1),1,IF(Data!AP178&lt;=MEDIAN(Data!AP$4:AP$195),2,IF(Data!AP178&lt;=QUARTILE(Data!AP$4:AP$195,3),3,4)))</f>
        <v>2</v>
      </c>
      <c r="AQ178" s="28">
        <f>IF(Data!AQ178&lt;=QUARTILE(Data!AQ$4:AQ$195,1),1,IF(Data!AQ178&lt;=MEDIAN(Data!AQ$4:AQ$195),2,IF(Data!AQ178&lt;=QUARTILE(Data!AQ$4:AQ$195,3),3,4)))</f>
        <v>2</v>
      </c>
      <c r="AR178" s="28">
        <f>IF(Data!AR178&lt;=QUARTILE(Data!AR$4:AR$195,1),1,IF(Data!AR178&lt;=MEDIAN(Data!AR$4:AR$195),2,IF(Data!AR178&lt;=QUARTILE(Data!AR$4:AR$195,3),3,4)))</f>
        <v>1</v>
      </c>
      <c r="AS178" s="28">
        <f>IF(Data!AS178&lt;=QUARTILE(Data!AS$4:AS$195,1),1,IF(Data!AS178&lt;=MEDIAN(Data!AS$4:AS$195),2,IF(Data!AS178&lt;=QUARTILE(Data!AS$4:AS$195,3),3,4)))</f>
        <v>3</v>
      </c>
      <c r="AT178" s="28">
        <f>IF(Data!AT178&lt;=QUARTILE(Data!AT$4:AT$195,1),1,IF(Data!AT178&lt;=MEDIAN(Data!AT$4:AT$195),2,IF(Data!AT178&lt;=QUARTILE(Data!AT$4:AT$195,3),3,4)))</f>
        <v>3</v>
      </c>
      <c r="AU178" s="22">
        <f>IF(Data!AU178&lt;=QUARTILE(Data!AU$4:AU$195,1),1,IF(Data!AU178&lt;=MEDIAN(Data!AU$4:AU$195),2,IF(Data!AU178&lt;=QUARTILE(Data!AU$4:AU$195,3),3,4)))</f>
        <v>2</v>
      </c>
      <c r="AV178" s="25">
        <f>IF(Data!AV178&lt;=QUARTILE(Data!AV$4:AV$195,1),1,IF(Data!AV178&lt;=MEDIAN(Data!AV$4:AV$195),2,IF(Data!AV178&lt;=QUARTILE(Data!AV$4:AV$195,3),3,4)))</f>
        <v>2</v>
      </c>
      <c r="AW178" s="28">
        <f>IF(Data!AW178&lt;=QUARTILE(Data!AW$4:AW$195,1),1,IF(Data!AW178&lt;=MEDIAN(Data!AW$4:AW$195),2,IF(Data!AW178&lt;=QUARTILE(Data!AW$4:AW$195,3),3,4)))</f>
        <v>2</v>
      </c>
      <c r="AX178" s="28">
        <f>IF(Data!AX178&lt;=QUARTILE(Data!AX$4:AX$195,1),1,IF(Data!AX178&lt;=MEDIAN(Data!AX$4:AX$195),2,IF(Data!AX178&lt;=QUARTILE(Data!AX$4:AX$195,3),3,4)))</f>
        <v>1</v>
      </c>
      <c r="AY178" s="22">
        <f>IF(Data!AY178&lt;=QUARTILE(Data!AY$4:AY$195,1),1,IF(Data!AY178&lt;=MEDIAN(Data!AY$4:AY$195),2,IF(Data!AY178&lt;=QUARTILE(Data!AY$4:AY$195,3),3,4)))</f>
        <v>1</v>
      </c>
      <c r="AZ178" s="25">
        <f>IF(Data!AZ178&lt;=QUARTILE(Data!AZ$4:AZ$195,1),1,IF(Data!AZ178&lt;=MEDIAN(Data!AZ$4:AZ$195),2,IF(Data!AZ178&lt;=QUARTILE(Data!AZ$4:AZ$195,3),3,4)))</f>
        <v>2</v>
      </c>
      <c r="BA178" s="22">
        <f>IF(Data!BA178&lt;=QUARTILE(Data!BA$4:BA$195,1),1,IF(Data!BA178&lt;=MEDIAN(Data!BA$4:BA$195),2,IF(Data!BA178&lt;=QUARTILE(Data!BA$4:BA$195,3),3,4)))</f>
        <v>3</v>
      </c>
    </row>
    <row r="179" spans="1:53" x14ac:dyDescent="0.25">
      <c r="A179" s="4" t="s">
        <v>18</v>
      </c>
      <c r="B179" s="40">
        <v>2004</v>
      </c>
      <c r="C179" s="25">
        <v>7</v>
      </c>
      <c r="D179" s="28">
        <v>9</v>
      </c>
      <c r="E179" s="77" t="s">
        <v>96</v>
      </c>
      <c r="F179" s="28">
        <v>5.3</v>
      </c>
      <c r="G179" s="28">
        <v>10</v>
      </c>
      <c r="H179" s="22">
        <v>-4.7</v>
      </c>
      <c r="I179" s="25">
        <f>IF(Data!I179&lt;=QUARTILE(Data!I$4:I$195,1),1,IF(Data!I179&lt;=MEDIAN(Data!I$4:I$195),2,IF(Data!I179&lt;=QUARTILE(Data!I$4:I$195,3),3,4)))</f>
        <v>4</v>
      </c>
      <c r="J179" s="28">
        <f>IF(Data!J179&lt;=QUARTILE(Data!J$4:J$195,1),1,IF(Data!J179&lt;=MEDIAN(Data!J$4:J$195),2,IF(Data!J179&lt;=QUARTILE(Data!J$4:J$195,3),3,4)))</f>
        <v>4</v>
      </c>
      <c r="K179" s="28">
        <f>IF(Data!K179&lt;=QUARTILE(Data!K$4:K$195,1),1,IF(Data!K179&lt;=MEDIAN(Data!K$4:K$195),2,IF(Data!K179&lt;=QUARTILE(Data!K$4:K$195,3),3,4)))</f>
        <v>4</v>
      </c>
      <c r="L179" s="22">
        <f>IF(Data!L179&lt;=QUARTILE(Data!L$4:L$195,1),1,IF(Data!L179&lt;=MEDIAN(Data!L$4:L$195),2,IF(Data!L179&lt;=QUARTILE(Data!L$4:L$195,3),3,4)))</f>
        <v>4</v>
      </c>
      <c r="M179" s="28">
        <f>IF(Data!M179&lt;=QUARTILE(Data!M$4:M$195,1),1,IF(Data!M179&lt;=MEDIAN(Data!M$4:M$195),2,IF(Data!M179&lt;=QUARTILE(Data!M$4:M$195,3),3,4)))</f>
        <v>4</v>
      </c>
      <c r="N179" s="28">
        <f>IF(Data!N179&lt;=QUARTILE(Data!N$4:N$195,1),1,IF(Data!N179&lt;=MEDIAN(Data!N$4:N$195),2,IF(Data!N179&lt;=QUARTILE(Data!N$4:N$195,3),3,4)))</f>
        <v>4</v>
      </c>
      <c r="O179" s="28">
        <f>IF(Data!O179&lt;=QUARTILE(Data!O$4:O$195,1),1,IF(Data!O179&lt;=MEDIAN(Data!O$4:O$195),2,IF(Data!O179&lt;=QUARTILE(Data!O$4:O$195,3),3,4)))</f>
        <v>4</v>
      </c>
      <c r="P179" s="28">
        <f>IF(Data!P179&lt;=QUARTILE(Data!P$4:P$195,1),1,IF(Data!P179&lt;=MEDIAN(Data!P$4:P$195),2,IF(Data!P179&lt;=QUARTILE(Data!P$4:P$195,3),3,4)))</f>
        <v>4</v>
      </c>
      <c r="Q179" s="28">
        <f>IF(Data!Q179&lt;=QUARTILE(Data!Q$4:Q$195,1),1,IF(Data!Q179&lt;=MEDIAN(Data!Q$4:Q$195),2,IF(Data!Q179&lt;=QUARTILE(Data!Q$4:Q$195,3),3,4)))</f>
        <v>4</v>
      </c>
      <c r="R179" s="28">
        <f>IF(Data!R179&lt;=QUARTILE(Data!R$4:R$195,1),1,IF(Data!R179&lt;=MEDIAN(Data!R$4:R$195),2,IF(Data!R179&lt;=QUARTILE(Data!R$4:R$195,3),3,4)))</f>
        <v>4</v>
      </c>
      <c r="S179" s="28">
        <f>IF(Data!S179&lt;=QUARTILE(Data!S$4:S$195,1),1,IF(Data!S179&lt;=MEDIAN(Data!S$4:S$195),2,IF(Data!S179&lt;=QUARTILE(Data!S$4:S$195,3),3,4)))</f>
        <v>2</v>
      </c>
      <c r="T179" s="22">
        <f>IF(Data!T179&lt;=QUARTILE(Data!T$4:T$195,1),1,IF(Data!T179&lt;=MEDIAN(Data!T$4:T$195),2,IF(Data!T179&lt;=QUARTILE(Data!T$4:T$195,3),3,4)))</f>
        <v>3</v>
      </c>
      <c r="U179" s="25">
        <f>IF(Data!U179&lt;=QUARTILE(Data!U$4:U$195,1),1,IF(Data!U179&lt;=MEDIAN(Data!U$4:U$195),2,IF(Data!U179&lt;=QUARTILE(Data!U$4:U$195,3),3,4)))</f>
        <v>4</v>
      </c>
      <c r="V179" s="28">
        <f>IF(Data!V179&lt;=QUARTILE(Data!V$4:V$195,1),1,IF(Data!V179&lt;=MEDIAN(Data!V$4:V$195),2,IF(Data!V179&lt;=QUARTILE(Data!V$4:V$195,3),3,4)))</f>
        <v>4</v>
      </c>
      <c r="W179" s="28">
        <f>IF(Data!W179&lt;=QUARTILE(Data!W$4:W$195,1),1,IF(Data!W179&lt;=MEDIAN(Data!W$4:W$195),2,IF(Data!W179&lt;=QUARTILE(Data!W$4:W$195,3),3,4)))</f>
        <v>4</v>
      </c>
      <c r="X179" s="22">
        <f>IF(Data!X179&lt;=QUARTILE(Data!X$4:X$195,1),1,IF(Data!X179&lt;=MEDIAN(Data!X$4:X$195),2,IF(Data!X179&lt;=QUARTILE(Data!X$4:X$195,3),3,4)))</f>
        <v>4</v>
      </c>
      <c r="Y179" s="33">
        <f>IF(Data!Y179&lt;=QUARTILE(Data!Y$4:Y$195,1),1,IF(Data!Y179&lt;=MEDIAN(Data!Y$4:Y$195),2,IF(Data!Y179&lt;=QUARTILE(Data!Y$4:Y$195,3),3,4)))</f>
        <v>3</v>
      </c>
      <c r="Z179" s="34">
        <f>IF(Data!Z179&lt;=QUARTILE(Data!Z$4:Z$195,1),1,IF(Data!Z179&lt;=MEDIAN(Data!Z$4:Z$195),2,IF(Data!Z179&lt;=QUARTILE(Data!Z$4:Z$195,3),3,4)))</f>
        <v>1</v>
      </c>
      <c r="AA179" s="25">
        <f>IF(Data!AA179&lt;=QUARTILE(Data!AA$4:AA$195,1),1,IF(Data!AA179&lt;=MEDIAN(Data!AA$4:AA$195),2,IF(Data!AA179&lt;=QUARTILE(Data!AA$4:AA$195,3),3,4)))</f>
        <v>1</v>
      </c>
      <c r="AB179" s="22">
        <f>IF(Data!AB179&lt;=QUARTILE(Data!AB$4:AB$195,1),1,IF(Data!AB179&lt;=MEDIAN(Data!AB$4:AB$195),2,IF(Data!AB179&lt;=QUARTILE(Data!AB$4:AB$195,3),3,4)))</f>
        <v>1</v>
      </c>
      <c r="AC179" s="25">
        <f>IF(Data!AC179&lt;=QUARTILE(Data!AC$4:AC$195,1),1,IF(Data!AC179&lt;=MEDIAN(Data!AC$4:AC$195),2,IF(Data!AC179&lt;=QUARTILE(Data!AC$4:AC$195,3),3,4)))</f>
        <v>4</v>
      </c>
      <c r="AD179" s="22">
        <f>IF(Data!AD179&lt;=QUARTILE(Data!AD$4:AD$195,1),1,IF(Data!AD179&lt;=MEDIAN(Data!AD$4:AD$195),2,IF(Data!AD179&lt;=QUARTILE(Data!AD$4:AD$195,3),3,4)))</f>
        <v>4</v>
      </c>
      <c r="AE179" s="28">
        <f>IF(Data!AE179&lt;=QUARTILE(Data!AE$4:AE$195,1),1,IF(Data!AE179&lt;=MEDIAN(Data!AE$4:AE$195),2,IF(Data!AE179&lt;=QUARTILE(Data!AE$4:AE$195,3),3,4)))</f>
        <v>1</v>
      </c>
      <c r="AF179" s="28">
        <f>IF(Data!AF179&lt;=QUARTILE(Data!AF$4:AF$195,1),1,IF(Data!AF179&lt;=MEDIAN(Data!AF$4:AF$195),2,IF(Data!AF179&lt;=QUARTILE(Data!AF$4:AF$195,3),3,4)))</f>
        <v>1</v>
      </c>
      <c r="AG179" s="28">
        <f>IF(Data!AG179&lt;=QUARTILE(Data!AG$4:AG$195,1),1,IF(Data!AG179&lt;=MEDIAN(Data!AG$4:AG$195),2,IF(Data!AG179&lt;=QUARTILE(Data!AG$4:AG$195,3),3,4)))</f>
        <v>2</v>
      </c>
      <c r="AH179" s="22">
        <f>IF(Data!AH179&lt;=QUARTILE(Data!AH$4:AH$195,1),1,IF(Data!AH179&lt;=MEDIAN(Data!AH$4:AH$195),2,IF(Data!AH179&lt;=QUARTILE(Data!AH$4:AH$195,3),3,4)))</f>
        <v>1</v>
      </c>
      <c r="AI179" s="25">
        <f>IF(Data!AI179&lt;=QUARTILE(Data!AI$4:AI$195,1),1,IF(Data!AI179&lt;=MEDIAN(Data!AI$4:AI$195),2,IF(Data!AI179&lt;=QUARTILE(Data!AI$4:AI$195,3),3,4)))</f>
        <v>1</v>
      </c>
      <c r="AJ179" s="22">
        <f>IF(Data!AJ179&lt;=QUARTILE(Data!AJ$4:AJ$195,1),1,IF(Data!AJ179&lt;=MEDIAN(Data!AJ$4:AJ$195),2,IF(Data!AJ179&lt;=QUARTILE(Data!AJ$4:AJ$195,3),3,4)))</f>
        <v>1</v>
      </c>
      <c r="AK179" s="25">
        <f>IF(Data!AK179&lt;=QUARTILE(Data!AK$4:AK$195,1),1,IF(Data!AK179&lt;=MEDIAN(Data!AK$4:AK$195),2,IF(Data!AK179&lt;=QUARTILE(Data!AK$4:AK$195,3),3,4)))</f>
        <v>4</v>
      </c>
      <c r="AL179" s="28">
        <f>IF(Data!AL179&lt;=QUARTILE(Data!AL$4:AL$195,1),1,IF(Data!AL179&lt;=MEDIAN(Data!AL$4:AL$195),2,IF(Data!AL179&lt;=QUARTILE(Data!AL$4:AL$195,3),3,4)))</f>
        <v>4</v>
      </c>
      <c r="AM179" s="28">
        <f>IF(Data!AM179&lt;=QUARTILE(Data!AM$4:AM$195,1),1,IF(Data!AM179&lt;=MEDIAN(Data!AM$4:AM$195),2,IF(Data!AM179&lt;=QUARTILE(Data!AM$4:AM$195,3),3,4)))</f>
        <v>1</v>
      </c>
      <c r="AN179" s="22">
        <f>IF(Data!AN179&lt;=QUARTILE(Data!AN$4:AN$195,1),1,IF(Data!AN179&lt;=MEDIAN(Data!AN$4:AN$195),2,IF(Data!AN179&lt;=QUARTILE(Data!AN$4:AN$195,3),3,4)))</f>
        <v>4</v>
      </c>
      <c r="AO179" s="28">
        <f>IF(Data!AO179&lt;=QUARTILE(Data!AO$4:AO$195,1),1,IF(Data!AO179&lt;=MEDIAN(Data!AO$4:AO$195),2,IF(Data!AO179&lt;=QUARTILE(Data!AO$4:AO$195,3),3,4)))</f>
        <v>2</v>
      </c>
      <c r="AP179" s="28">
        <f>IF(Data!AP179&lt;=QUARTILE(Data!AP$4:AP$195,1),1,IF(Data!AP179&lt;=MEDIAN(Data!AP$4:AP$195),2,IF(Data!AP179&lt;=QUARTILE(Data!AP$4:AP$195,3),3,4)))</f>
        <v>3</v>
      </c>
      <c r="AQ179" s="28">
        <f>IF(Data!AQ179&lt;=QUARTILE(Data!AQ$4:AQ$195,1),1,IF(Data!AQ179&lt;=MEDIAN(Data!AQ$4:AQ$195),2,IF(Data!AQ179&lt;=QUARTILE(Data!AQ$4:AQ$195,3),3,4)))</f>
        <v>4</v>
      </c>
      <c r="AR179" s="28">
        <f>IF(Data!AR179&lt;=QUARTILE(Data!AR$4:AR$195,1),1,IF(Data!AR179&lt;=MEDIAN(Data!AR$4:AR$195),2,IF(Data!AR179&lt;=QUARTILE(Data!AR$4:AR$195,3),3,4)))</f>
        <v>4</v>
      </c>
      <c r="AS179" s="28">
        <f>IF(Data!AS179&lt;=QUARTILE(Data!AS$4:AS$195,1),1,IF(Data!AS179&lt;=MEDIAN(Data!AS$4:AS$195),2,IF(Data!AS179&lt;=QUARTILE(Data!AS$4:AS$195,3),3,4)))</f>
        <v>4</v>
      </c>
      <c r="AT179" s="28">
        <f>IF(Data!AT179&lt;=QUARTILE(Data!AT$4:AT$195,1),1,IF(Data!AT179&lt;=MEDIAN(Data!AT$4:AT$195),2,IF(Data!AT179&lt;=QUARTILE(Data!AT$4:AT$195,3),3,4)))</f>
        <v>4</v>
      </c>
      <c r="AU179" s="22">
        <f>IF(Data!AU179&lt;=QUARTILE(Data!AU$4:AU$195,1),1,IF(Data!AU179&lt;=MEDIAN(Data!AU$4:AU$195),2,IF(Data!AU179&lt;=QUARTILE(Data!AU$4:AU$195,3),3,4)))</f>
        <v>3</v>
      </c>
      <c r="AV179" s="25">
        <f>IF(Data!AV179&lt;=QUARTILE(Data!AV$4:AV$195,1),1,IF(Data!AV179&lt;=MEDIAN(Data!AV$4:AV$195),2,IF(Data!AV179&lt;=QUARTILE(Data!AV$4:AV$195,3),3,4)))</f>
        <v>1</v>
      </c>
      <c r="AW179" s="28">
        <f>IF(Data!AW179&lt;=QUARTILE(Data!AW$4:AW$195,1),1,IF(Data!AW179&lt;=MEDIAN(Data!AW$4:AW$195),2,IF(Data!AW179&lt;=QUARTILE(Data!AW$4:AW$195,3),3,4)))</f>
        <v>2</v>
      </c>
      <c r="AX179" s="28">
        <f>IF(Data!AX179&lt;=QUARTILE(Data!AX$4:AX$195,1),1,IF(Data!AX179&lt;=MEDIAN(Data!AX$4:AX$195),2,IF(Data!AX179&lt;=QUARTILE(Data!AX$4:AX$195,3),3,4)))</f>
        <v>4</v>
      </c>
      <c r="AY179" s="22">
        <f>IF(Data!AY179&lt;=QUARTILE(Data!AY$4:AY$195,1),1,IF(Data!AY179&lt;=MEDIAN(Data!AY$4:AY$195),2,IF(Data!AY179&lt;=QUARTILE(Data!AY$4:AY$195,3),3,4)))</f>
        <v>2</v>
      </c>
      <c r="AZ179" s="25">
        <f>IF(Data!AZ179&lt;=QUARTILE(Data!AZ$4:AZ$195,1),1,IF(Data!AZ179&lt;=MEDIAN(Data!AZ$4:AZ$195),2,IF(Data!AZ179&lt;=QUARTILE(Data!AZ$4:AZ$195,3),3,4)))</f>
        <v>1</v>
      </c>
      <c r="BA179" s="22">
        <f>IF(Data!BA179&lt;=QUARTILE(Data!BA$4:BA$195,1),1,IF(Data!BA179&lt;=MEDIAN(Data!BA$4:BA$195),2,IF(Data!BA179&lt;=QUARTILE(Data!BA$4:BA$195,3),3,4)))</f>
        <v>1</v>
      </c>
    </row>
    <row r="180" spans="1:53" x14ac:dyDescent="0.25">
      <c r="A180" s="4" t="s">
        <v>5</v>
      </c>
      <c r="B180" s="40">
        <v>2004</v>
      </c>
      <c r="C180" s="25">
        <v>4</v>
      </c>
      <c r="D180" s="28">
        <v>12</v>
      </c>
      <c r="E180" s="77" t="s">
        <v>96</v>
      </c>
      <c r="F180" s="28">
        <v>-2.2000000000000002</v>
      </c>
      <c r="G180" s="28">
        <v>-2.7</v>
      </c>
      <c r="H180" s="22">
        <v>0.5</v>
      </c>
      <c r="I180" s="25">
        <f>IF(Data!I180&lt;=QUARTILE(Data!I$4:I$195,1),1,IF(Data!I180&lt;=MEDIAN(Data!I$4:I$195),2,IF(Data!I180&lt;=QUARTILE(Data!I$4:I$195,3),3,4)))</f>
        <v>1</v>
      </c>
      <c r="J180" s="28">
        <f>IF(Data!J180&lt;=QUARTILE(Data!J$4:J$195,1),1,IF(Data!J180&lt;=MEDIAN(Data!J$4:J$195),2,IF(Data!J180&lt;=QUARTILE(Data!J$4:J$195,3),3,4)))</f>
        <v>1</v>
      </c>
      <c r="K180" s="28">
        <f>IF(Data!K180&lt;=QUARTILE(Data!K$4:K$195,1),1,IF(Data!K180&lt;=MEDIAN(Data!K$4:K$195),2,IF(Data!K180&lt;=QUARTILE(Data!K$4:K$195,3),3,4)))</f>
        <v>3</v>
      </c>
      <c r="L180" s="22">
        <f>IF(Data!L180&lt;=QUARTILE(Data!L$4:L$195,1),1,IF(Data!L180&lt;=MEDIAN(Data!L$4:L$195),2,IF(Data!L180&lt;=QUARTILE(Data!L$4:L$195,3),3,4)))</f>
        <v>1</v>
      </c>
      <c r="M180" s="28">
        <f>IF(Data!M180&lt;=QUARTILE(Data!M$4:M$195,1),1,IF(Data!M180&lt;=MEDIAN(Data!M$4:M$195),2,IF(Data!M180&lt;=QUARTILE(Data!M$4:M$195,3),3,4)))</f>
        <v>2</v>
      </c>
      <c r="N180" s="28">
        <f>IF(Data!N180&lt;=QUARTILE(Data!N$4:N$195,1),1,IF(Data!N180&lt;=MEDIAN(Data!N$4:N$195),2,IF(Data!N180&lt;=QUARTILE(Data!N$4:N$195,3),3,4)))</f>
        <v>4</v>
      </c>
      <c r="O180" s="28">
        <f>IF(Data!O180&lt;=QUARTILE(Data!O$4:O$195,1),1,IF(Data!O180&lt;=MEDIAN(Data!O$4:O$195),2,IF(Data!O180&lt;=QUARTILE(Data!O$4:O$195,3),3,4)))</f>
        <v>2</v>
      </c>
      <c r="P180" s="28">
        <f>IF(Data!P180&lt;=QUARTILE(Data!P$4:P$195,1),1,IF(Data!P180&lt;=MEDIAN(Data!P$4:P$195),2,IF(Data!P180&lt;=QUARTILE(Data!P$4:P$195,3),3,4)))</f>
        <v>2</v>
      </c>
      <c r="Q180" s="28">
        <f>IF(Data!Q180&lt;=QUARTILE(Data!Q$4:Q$195,1),1,IF(Data!Q180&lt;=MEDIAN(Data!Q$4:Q$195),2,IF(Data!Q180&lt;=QUARTILE(Data!Q$4:Q$195,3),3,4)))</f>
        <v>2</v>
      </c>
      <c r="R180" s="28">
        <f>IF(Data!R180&lt;=QUARTILE(Data!R$4:R$195,1),1,IF(Data!R180&lt;=MEDIAN(Data!R$4:R$195),2,IF(Data!R180&lt;=QUARTILE(Data!R$4:R$195,3),3,4)))</f>
        <v>1</v>
      </c>
      <c r="S180" s="28">
        <f>IF(Data!S180&lt;=QUARTILE(Data!S$4:S$195,1),1,IF(Data!S180&lt;=MEDIAN(Data!S$4:S$195),2,IF(Data!S180&lt;=QUARTILE(Data!S$4:S$195,3),3,4)))</f>
        <v>4</v>
      </c>
      <c r="T180" s="22">
        <f>IF(Data!T180&lt;=QUARTILE(Data!T$4:T$195,1),1,IF(Data!T180&lt;=MEDIAN(Data!T$4:T$195),2,IF(Data!T180&lt;=QUARTILE(Data!T$4:T$195,3),3,4)))</f>
        <v>4</v>
      </c>
      <c r="U180" s="25">
        <f>IF(Data!U180&lt;=QUARTILE(Data!U$4:U$195,1),1,IF(Data!U180&lt;=MEDIAN(Data!U$4:U$195),2,IF(Data!U180&lt;=QUARTILE(Data!U$4:U$195,3),3,4)))</f>
        <v>1</v>
      </c>
      <c r="V180" s="28">
        <f>IF(Data!V180&lt;=QUARTILE(Data!V$4:V$195,1),1,IF(Data!V180&lt;=MEDIAN(Data!V$4:V$195),2,IF(Data!V180&lt;=QUARTILE(Data!V$4:V$195,3),3,4)))</f>
        <v>1</v>
      </c>
      <c r="W180" s="28">
        <f>IF(Data!W180&lt;=QUARTILE(Data!W$4:W$195,1),1,IF(Data!W180&lt;=MEDIAN(Data!W$4:W$195),2,IF(Data!W180&lt;=QUARTILE(Data!W$4:W$195,3),3,4)))</f>
        <v>2</v>
      </c>
      <c r="X180" s="22">
        <f>IF(Data!X180&lt;=QUARTILE(Data!X$4:X$195,1),1,IF(Data!X180&lt;=MEDIAN(Data!X$4:X$195),2,IF(Data!X180&lt;=QUARTILE(Data!X$4:X$195,3),3,4)))</f>
        <v>1</v>
      </c>
      <c r="Y180" s="33">
        <f>IF(Data!Y180&lt;=QUARTILE(Data!Y$4:Y$195,1),1,IF(Data!Y180&lt;=MEDIAN(Data!Y$4:Y$195),2,IF(Data!Y180&lt;=QUARTILE(Data!Y$4:Y$195,3),3,4)))</f>
        <v>4</v>
      </c>
      <c r="Z180" s="34">
        <f>IF(Data!Z180&lt;=QUARTILE(Data!Z$4:Z$195,1),1,IF(Data!Z180&lt;=MEDIAN(Data!Z$4:Z$195),2,IF(Data!Z180&lt;=QUARTILE(Data!Z$4:Z$195,3),3,4)))</f>
        <v>3</v>
      </c>
      <c r="AA180" s="25">
        <f>IF(Data!AA180&lt;=QUARTILE(Data!AA$4:AA$195,1),1,IF(Data!AA180&lt;=MEDIAN(Data!AA$4:AA$195),2,IF(Data!AA180&lt;=QUARTILE(Data!AA$4:AA$195,3),3,4)))</f>
        <v>4</v>
      </c>
      <c r="AB180" s="22">
        <f>IF(Data!AB180&lt;=QUARTILE(Data!AB$4:AB$195,1),1,IF(Data!AB180&lt;=MEDIAN(Data!AB$4:AB$195),2,IF(Data!AB180&lt;=QUARTILE(Data!AB$4:AB$195,3),3,4)))</f>
        <v>4</v>
      </c>
      <c r="AC180" s="25">
        <f>IF(Data!AC180&lt;=QUARTILE(Data!AC$4:AC$195,1),1,IF(Data!AC180&lt;=MEDIAN(Data!AC$4:AC$195),2,IF(Data!AC180&lt;=QUARTILE(Data!AC$4:AC$195,3),3,4)))</f>
        <v>3</v>
      </c>
      <c r="AD180" s="22">
        <f>IF(Data!AD180&lt;=QUARTILE(Data!AD$4:AD$195,1),1,IF(Data!AD180&lt;=MEDIAN(Data!AD$4:AD$195),2,IF(Data!AD180&lt;=QUARTILE(Data!AD$4:AD$195,3),3,4)))</f>
        <v>4</v>
      </c>
      <c r="AE180" s="28">
        <f>IF(Data!AE180&lt;=QUARTILE(Data!AE$4:AE$195,1),1,IF(Data!AE180&lt;=MEDIAN(Data!AE$4:AE$195),2,IF(Data!AE180&lt;=QUARTILE(Data!AE$4:AE$195,3),3,4)))</f>
        <v>1</v>
      </c>
      <c r="AF180" s="28">
        <f>IF(Data!AF180&lt;=QUARTILE(Data!AF$4:AF$195,1),1,IF(Data!AF180&lt;=MEDIAN(Data!AF$4:AF$195),2,IF(Data!AF180&lt;=QUARTILE(Data!AF$4:AF$195,3),3,4)))</f>
        <v>1</v>
      </c>
      <c r="AG180" s="28">
        <f>IF(Data!AG180&lt;=QUARTILE(Data!AG$4:AG$195,1),1,IF(Data!AG180&lt;=MEDIAN(Data!AG$4:AG$195),2,IF(Data!AG180&lt;=QUARTILE(Data!AG$4:AG$195,3),3,4)))</f>
        <v>1</v>
      </c>
      <c r="AH180" s="22">
        <f>IF(Data!AH180&lt;=QUARTILE(Data!AH$4:AH$195,1),1,IF(Data!AH180&lt;=MEDIAN(Data!AH$4:AH$195),2,IF(Data!AH180&lt;=QUARTILE(Data!AH$4:AH$195,3),3,4)))</f>
        <v>2</v>
      </c>
      <c r="AI180" s="25">
        <f>IF(Data!AI180&lt;=QUARTILE(Data!AI$4:AI$195,1),1,IF(Data!AI180&lt;=MEDIAN(Data!AI$4:AI$195),2,IF(Data!AI180&lt;=QUARTILE(Data!AI$4:AI$195,3),3,4)))</f>
        <v>4</v>
      </c>
      <c r="AJ180" s="22">
        <f>IF(Data!AJ180&lt;=QUARTILE(Data!AJ$4:AJ$195,1),1,IF(Data!AJ180&lt;=MEDIAN(Data!AJ$4:AJ$195),2,IF(Data!AJ180&lt;=QUARTILE(Data!AJ$4:AJ$195,3),3,4)))</f>
        <v>4</v>
      </c>
      <c r="AK180" s="25">
        <f>IF(Data!AK180&lt;=QUARTILE(Data!AK$4:AK$195,1),1,IF(Data!AK180&lt;=MEDIAN(Data!AK$4:AK$195),2,IF(Data!AK180&lt;=QUARTILE(Data!AK$4:AK$195,3),3,4)))</f>
        <v>3</v>
      </c>
      <c r="AL180" s="28">
        <f>IF(Data!AL180&lt;=QUARTILE(Data!AL$4:AL$195,1),1,IF(Data!AL180&lt;=MEDIAN(Data!AL$4:AL$195),2,IF(Data!AL180&lt;=QUARTILE(Data!AL$4:AL$195,3),3,4)))</f>
        <v>2</v>
      </c>
      <c r="AM180" s="28">
        <f>IF(Data!AM180&lt;=QUARTILE(Data!AM$4:AM$195,1),1,IF(Data!AM180&lt;=MEDIAN(Data!AM$4:AM$195),2,IF(Data!AM180&lt;=QUARTILE(Data!AM$4:AM$195,3),3,4)))</f>
        <v>3</v>
      </c>
      <c r="AN180" s="22">
        <f>IF(Data!AN180&lt;=QUARTILE(Data!AN$4:AN$195,1),1,IF(Data!AN180&lt;=MEDIAN(Data!AN$4:AN$195),2,IF(Data!AN180&lt;=QUARTILE(Data!AN$4:AN$195,3),3,4)))</f>
        <v>2</v>
      </c>
      <c r="AO180" s="28">
        <f>IF(Data!AO180&lt;=QUARTILE(Data!AO$4:AO$195,1),1,IF(Data!AO180&lt;=MEDIAN(Data!AO$4:AO$195),2,IF(Data!AO180&lt;=QUARTILE(Data!AO$4:AO$195,3),3,4)))</f>
        <v>1</v>
      </c>
      <c r="AP180" s="28">
        <f>IF(Data!AP180&lt;=QUARTILE(Data!AP$4:AP$195,1),1,IF(Data!AP180&lt;=MEDIAN(Data!AP$4:AP$195),2,IF(Data!AP180&lt;=QUARTILE(Data!AP$4:AP$195,3),3,4)))</f>
        <v>1</v>
      </c>
      <c r="AQ180" s="28">
        <f>IF(Data!AQ180&lt;=QUARTILE(Data!AQ$4:AQ$195,1),1,IF(Data!AQ180&lt;=MEDIAN(Data!AQ$4:AQ$195),2,IF(Data!AQ180&lt;=QUARTILE(Data!AQ$4:AQ$195,3),3,4)))</f>
        <v>1</v>
      </c>
      <c r="AR180" s="28">
        <f>IF(Data!AR180&lt;=QUARTILE(Data!AR$4:AR$195,1),1,IF(Data!AR180&lt;=MEDIAN(Data!AR$4:AR$195),2,IF(Data!AR180&lt;=QUARTILE(Data!AR$4:AR$195,3),3,4)))</f>
        <v>2</v>
      </c>
      <c r="AS180" s="28">
        <f>IF(Data!AS180&lt;=QUARTILE(Data!AS$4:AS$195,1),1,IF(Data!AS180&lt;=MEDIAN(Data!AS$4:AS$195),2,IF(Data!AS180&lt;=QUARTILE(Data!AS$4:AS$195,3),3,4)))</f>
        <v>1</v>
      </c>
      <c r="AT180" s="28">
        <f>IF(Data!AT180&lt;=QUARTILE(Data!AT$4:AT$195,1),1,IF(Data!AT180&lt;=MEDIAN(Data!AT$4:AT$195),2,IF(Data!AT180&lt;=QUARTILE(Data!AT$4:AT$195,3),3,4)))</f>
        <v>3</v>
      </c>
      <c r="AU180" s="22">
        <f>IF(Data!AU180&lt;=QUARTILE(Data!AU$4:AU$195,1),1,IF(Data!AU180&lt;=MEDIAN(Data!AU$4:AU$195),2,IF(Data!AU180&lt;=QUARTILE(Data!AU$4:AU$195,3),3,4)))</f>
        <v>2</v>
      </c>
      <c r="AV180" s="25">
        <f>IF(Data!AV180&lt;=QUARTILE(Data!AV$4:AV$195,1),1,IF(Data!AV180&lt;=MEDIAN(Data!AV$4:AV$195),2,IF(Data!AV180&lt;=QUARTILE(Data!AV$4:AV$195,3),3,4)))</f>
        <v>4</v>
      </c>
      <c r="AW180" s="28">
        <f>IF(Data!AW180&lt;=QUARTILE(Data!AW$4:AW$195,1),1,IF(Data!AW180&lt;=MEDIAN(Data!AW$4:AW$195),2,IF(Data!AW180&lt;=QUARTILE(Data!AW$4:AW$195,3),3,4)))</f>
        <v>4</v>
      </c>
      <c r="AX180" s="28">
        <f>IF(Data!AX180&lt;=QUARTILE(Data!AX$4:AX$195,1),1,IF(Data!AX180&lt;=MEDIAN(Data!AX$4:AX$195),2,IF(Data!AX180&lt;=QUARTILE(Data!AX$4:AX$195,3),3,4)))</f>
        <v>2</v>
      </c>
      <c r="AY180" s="22">
        <f>IF(Data!AY180&lt;=QUARTILE(Data!AY$4:AY$195,1),1,IF(Data!AY180&lt;=MEDIAN(Data!AY$4:AY$195),2,IF(Data!AY180&lt;=QUARTILE(Data!AY$4:AY$195,3),3,4)))</f>
        <v>3</v>
      </c>
      <c r="AZ180" s="25">
        <f>IF(Data!AZ180&lt;=QUARTILE(Data!AZ$4:AZ$195,1),1,IF(Data!AZ180&lt;=MEDIAN(Data!AZ$4:AZ$195),2,IF(Data!AZ180&lt;=QUARTILE(Data!AZ$4:AZ$195,3),3,4)))</f>
        <v>2</v>
      </c>
      <c r="BA180" s="22">
        <f>IF(Data!BA180&lt;=QUARTILE(Data!BA$4:BA$195,1),1,IF(Data!BA180&lt;=MEDIAN(Data!BA$4:BA$195),2,IF(Data!BA180&lt;=QUARTILE(Data!BA$4:BA$195,3),3,4)))</f>
        <v>2</v>
      </c>
    </row>
    <row r="181" spans="1:53" x14ac:dyDescent="0.25">
      <c r="A181" s="4" t="s">
        <v>23</v>
      </c>
      <c r="B181" s="40">
        <v>2004</v>
      </c>
      <c r="C181" s="25">
        <v>8</v>
      </c>
      <c r="D181" s="28">
        <v>8</v>
      </c>
      <c r="E181" s="77" t="s">
        <v>97</v>
      </c>
      <c r="F181" s="28">
        <v>-1.7</v>
      </c>
      <c r="G181" s="28">
        <v>3</v>
      </c>
      <c r="H181" s="22">
        <v>-4.7</v>
      </c>
      <c r="I181" s="25">
        <f>IF(Data!I181&lt;=QUARTILE(Data!I$4:I$195,1),1,IF(Data!I181&lt;=MEDIAN(Data!I$4:I$195),2,IF(Data!I181&lt;=QUARTILE(Data!I$4:I$195,3),3,4)))</f>
        <v>4</v>
      </c>
      <c r="J181" s="28">
        <f>IF(Data!J181&lt;=QUARTILE(Data!J$4:J$195,1),1,IF(Data!J181&lt;=MEDIAN(Data!J$4:J$195),2,IF(Data!J181&lt;=QUARTILE(Data!J$4:J$195,3),3,4)))</f>
        <v>4</v>
      </c>
      <c r="K181" s="28">
        <f>IF(Data!K181&lt;=QUARTILE(Data!K$4:K$195,1),1,IF(Data!K181&lt;=MEDIAN(Data!K$4:K$195),2,IF(Data!K181&lt;=QUARTILE(Data!K$4:K$195,3),3,4)))</f>
        <v>2</v>
      </c>
      <c r="L181" s="22">
        <f>IF(Data!L181&lt;=QUARTILE(Data!L$4:L$195,1),1,IF(Data!L181&lt;=MEDIAN(Data!L$4:L$195),2,IF(Data!L181&lt;=QUARTILE(Data!L$4:L$195,3),3,4)))</f>
        <v>4</v>
      </c>
      <c r="M181" s="28">
        <f>IF(Data!M181&lt;=QUARTILE(Data!M$4:M$195,1),1,IF(Data!M181&lt;=MEDIAN(Data!M$4:M$195),2,IF(Data!M181&lt;=QUARTILE(Data!M$4:M$195,3),3,4)))</f>
        <v>4</v>
      </c>
      <c r="N181" s="28">
        <f>IF(Data!N181&lt;=QUARTILE(Data!N$4:N$195,1),1,IF(Data!N181&lt;=MEDIAN(Data!N$4:N$195),2,IF(Data!N181&lt;=QUARTILE(Data!N$4:N$195,3),3,4)))</f>
        <v>3</v>
      </c>
      <c r="O181" s="28">
        <f>IF(Data!O181&lt;=QUARTILE(Data!O$4:O$195,1),1,IF(Data!O181&lt;=MEDIAN(Data!O$4:O$195),2,IF(Data!O181&lt;=QUARTILE(Data!O$4:O$195,3),3,4)))</f>
        <v>4</v>
      </c>
      <c r="P181" s="28">
        <f>IF(Data!P181&lt;=QUARTILE(Data!P$4:P$195,1),1,IF(Data!P181&lt;=MEDIAN(Data!P$4:P$195),2,IF(Data!P181&lt;=QUARTILE(Data!P$4:P$195,3),3,4)))</f>
        <v>4</v>
      </c>
      <c r="Q181" s="28">
        <f>IF(Data!Q181&lt;=QUARTILE(Data!Q$4:Q$195,1),1,IF(Data!Q181&lt;=MEDIAN(Data!Q$4:Q$195),2,IF(Data!Q181&lt;=QUARTILE(Data!Q$4:Q$195,3),3,4)))</f>
        <v>4</v>
      </c>
      <c r="R181" s="28">
        <f>IF(Data!R181&lt;=QUARTILE(Data!R$4:R$195,1),1,IF(Data!R181&lt;=MEDIAN(Data!R$4:R$195),2,IF(Data!R181&lt;=QUARTILE(Data!R$4:R$195,3),3,4)))</f>
        <v>4</v>
      </c>
      <c r="S181" s="28">
        <f>IF(Data!S181&lt;=QUARTILE(Data!S$4:S$195,1),1,IF(Data!S181&lt;=MEDIAN(Data!S$4:S$195),2,IF(Data!S181&lt;=QUARTILE(Data!S$4:S$195,3),3,4)))</f>
        <v>4</v>
      </c>
      <c r="T181" s="22">
        <f>IF(Data!T181&lt;=QUARTILE(Data!T$4:T$195,1),1,IF(Data!T181&lt;=MEDIAN(Data!T$4:T$195),2,IF(Data!T181&lt;=QUARTILE(Data!T$4:T$195,3),3,4)))</f>
        <v>3</v>
      </c>
      <c r="U181" s="25">
        <f>IF(Data!U181&lt;=QUARTILE(Data!U$4:U$195,1),1,IF(Data!U181&lt;=MEDIAN(Data!U$4:U$195),2,IF(Data!U181&lt;=QUARTILE(Data!U$4:U$195,3),3,4)))</f>
        <v>1</v>
      </c>
      <c r="V181" s="28">
        <f>IF(Data!V181&lt;=QUARTILE(Data!V$4:V$195,1),1,IF(Data!V181&lt;=MEDIAN(Data!V$4:V$195),2,IF(Data!V181&lt;=QUARTILE(Data!V$4:V$195,3),3,4)))</f>
        <v>3</v>
      </c>
      <c r="W181" s="28">
        <f>IF(Data!W181&lt;=QUARTILE(Data!W$4:W$195,1),1,IF(Data!W181&lt;=MEDIAN(Data!W$4:W$195),2,IF(Data!W181&lt;=QUARTILE(Data!W$4:W$195,3),3,4)))</f>
        <v>1</v>
      </c>
      <c r="X181" s="22">
        <f>IF(Data!X181&lt;=QUARTILE(Data!X$4:X$195,1),1,IF(Data!X181&lt;=MEDIAN(Data!X$4:X$195),2,IF(Data!X181&lt;=QUARTILE(Data!X$4:X$195,3),3,4)))</f>
        <v>3</v>
      </c>
      <c r="Y181" s="33">
        <f>IF(Data!Y181&lt;=QUARTILE(Data!Y$4:Y$195,1),1,IF(Data!Y181&lt;=MEDIAN(Data!Y$4:Y$195),2,IF(Data!Y181&lt;=QUARTILE(Data!Y$4:Y$195,3),3,4)))</f>
        <v>1</v>
      </c>
      <c r="Z181" s="34">
        <f>IF(Data!Z181&lt;=QUARTILE(Data!Z$4:Z$195,1),1,IF(Data!Z181&lt;=MEDIAN(Data!Z$4:Z$195),2,IF(Data!Z181&lt;=QUARTILE(Data!Z$4:Z$195,3),3,4)))</f>
        <v>1</v>
      </c>
      <c r="AA181" s="25">
        <f>IF(Data!AA181&lt;=QUARTILE(Data!AA$4:AA$195,1),1,IF(Data!AA181&lt;=MEDIAN(Data!AA$4:AA$195),2,IF(Data!AA181&lt;=QUARTILE(Data!AA$4:AA$195,3),3,4)))</f>
        <v>2</v>
      </c>
      <c r="AB181" s="22">
        <f>IF(Data!AB181&lt;=QUARTILE(Data!AB$4:AB$195,1),1,IF(Data!AB181&lt;=MEDIAN(Data!AB$4:AB$195),2,IF(Data!AB181&lt;=QUARTILE(Data!AB$4:AB$195,3),3,4)))</f>
        <v>2</v>
      </c>
      <c r="AC181" s="25">
        <f>IF(Data!AC181&lt;=QUARTILE(Data!AC$4:AC$195,1),1,IF(Data!AC181&lt;=MEDIAN(Data!AC$4:AC$195),2,IF(Data!AC181&lt;=QUARTILE(Data!AC$4:AC$195,3),3,4)))</f>
        <v>3</v>
      </c>
      <c r="AD181" s="22">
        <f>IF(Data!AD181&lt;=QUARTILE(Data!AD$4:AD$195,1),1,IF(Data!AD181&lt;=MEDIAN(Data!AD$4:AD$195),2,IF(Data!AD181&lt;=QUARTILE(Data!AD$4:AD$195,3),3,4)))</f>
        <v>2</v>
      </c>
      <c r="AE181" s="28">
        <f>IF(Data!AE181&lt;=QUARTILE(Data!AE$4:AE$195,1),1,IF(Data!AE181&lt;=MEDIAN(Data!AE$4:AE$195),2,IF(Data!AE181&lt;=QUARTILE(Data!AE$4:AE$195,3),3,4)))</f>
        <v>2</v>
      </c>
      <c r="AF181" s="28">
        <f>IF(Data!AF181&lt;=QUARTILE(Data!AF$4:AF$195,1),1,IF(Data!AF181&lt;=MEDIAN(Data!AF$4:AF$195),2,IF(Data!AF181&lt;=QUARTILE(Data!AF$4:AF$195,3),3,4)))</f>
        <v>2</v>
      </c>
      <c r="AG181" s="28">
        <f>IF(Data!AG181&lt;=QUARTILE(Data!AG$4:AG$195,1),1,IF(Data!AG181&lt;=MEDIAN(Data!AG$4:AG$195),2,IF(Data!AG181&lt;=QUARTILE(Data!AG$4:AG$195,3),3,4)))</f>
        <v>1</v>
      </c>
      <c r="AH181" s="22">
        <f>IF(Data!AH181&lt;=QUARTILE(Data!AH$4:AH$195,1),1,IF(Data!AH181&lt;=MEDIAN(Data!AH$4:AH$195),2,IF(Data!AH181&lt;=QUARTILE(Data!AH$4:AH$195,3),3,4)))</f>
        <v>1</v>
      </c>
      <c r="AI181" s="25">
        <f>IF(Data!AI181&lt;=QUARTILE(Data!AI$4:AI$195,1),1,IF(Data!AI181&lt;=MEDIAN(Data!AI$4:AI$195),2,IF(Data!AI181&lt;=QUARTILE(Data!AI$4:AI$195,3),3,4)))</f>
        <v>1</v>
      </c>
      <c r="AJ181" s="22">
        <f>IF(Data!AJ181&lt;=QUARTILE(Data!AJ$4:AJ$195,1),1,IF(Data!AJ181&lt;=MEDIAN(Data!AJ$4:AJ$195),2,IF(Data!AJ181&lt;=QUARTILE(Data!AJ$4:AJ$195,3),3,4)))</f>
        <v>1</v>
      </c>
      <c r="AK181" s="25">
        <f>IF(Data!AK181&lt;=QUARTILE(Data!AK$4:AK$195,1),1,IF(Data!AK181&lt;=MEDIAN(Data!AK$4:AK$195),2,IF(Data!AK181&lt;=QUARTILE(Data!AK$4:AK$195,3),3,4)))</f>
        <v>4</v>
      </c>
      <c r="AL181" s="28">
        <f>IF(Data!AL181&lt;=QUARTILE(Data!AL$4:AL$195,1),1,IF(Data!AL181&lt;=MEDIAN(Data!AL$4:AL$195),2,IF(Data!AL181&lt;=QUARTILE(Data!AL$4:AL$195,3),3,4)))</f>
        <v>4</v>
      </c>
      <c r="AM181" s="28">
        <f>IF(Data!AM181&lt;=QUARTILE(Data!AM$4:AM$195,1),1,IF(Data!AM181&lt;=MEDIAN(Data!AM$4:AM$195),2,IF(Data!AM181&lt;=QUARTILE(Data!AM$4:AM$195,3),3,4)))</f>
        <v>3</v>
      </c>
      <c r="AN181" s="22">
        <f>IF(Data!AN181&lt;=QUARTILE(Data!AN$4:AN$195,1),1,IF(Data!AN181&lt;=MEDIAN(Data!AN$4:AN$195),2,IF(Data!AN181&lt;=QUARTILE(Data!AN$4:AN$195,3),3,4)))</f>
        <v>4</v>
      </c>
      <c r="AO181" s="28">
        <f>IF(Data!AO181&lt;=QUARTILE(Data!AO$4:AO$195,1),1,IF(Data!AO181&lt;=MEDIAN(Data!AO$4:AO$195),2,IF(Data!AO181&lt;=QUARTILE(Data!AO$4:AO$195,3),3,4)))</f>
        <v>4</v>
      </c>
      <c r="AP181" s="28">
        <f>IF(Data!AP181&lt;=QUARTILE(Data!AP$4:AP$195,1),1,IF(Data!AP181&lt;=MEDIAN(Data!AP$4:AP$195),2,IF(Data!AP181&lt;=QUARTILE(Data!AP$4:AP$195,3),3,4)))</f>
        <v>3</v>
      </c>
      <c r="AQ181" s="28">
        <f>IF(Data!AQ181&lt;=QUARTILE(Data!AQ$4:AQ$195,1),1,IF(Data!AQ181&lt;=MEDIAN(Data!AQ$4:AQ$195),2,IF(Data!AQ181&lt;=QUARTILE(Data!AQ$4:AQ$195,3),3,4)))</f>
        <v>4</v>
      </c>
      <c r="AR181" s="28">
        <f>IF(Data!AR181&lt;=QUARTILE(Data!AR$4:AR$195,1),1,IF(Data!AR181&lt;=MEDIAN(Data!AR$4:AR$195),2,IF(Data!AR181&lt;=QUARTILE(Data!AR$4:AR$195,3),3,4)))</f>
        <v>4</v>
      </c>
      <c r="AS181" s="28">
        <f>IF(Data!AS181&lt;=QUARTILE(Data!AS$4:AS$195,1),1,IF(Data!AS181&lt;=MEDIAN(Data!AS$4:AS$195),2,IF(Data!AS181&lt;=QUARTILE(Data!AS$4:AS$195,3),3,4)))</f>
        <v>4</v>
      </c>
      <c r="AT181" s="28">
        <f>IF(Data!AT181&lt;=QUARTILE(Data!AT$4:AT$195,1),1,IF(Data!AT181&lt;=MEDIAN(Data!AT$4:AT$195),2,IF(Data!AT181&lt;=QUARTILE(Data!AT$4:AT$195,3),3,4)))</f>
        <v>3</v>
      </c>
      <c r="AU181" s="22">
        <f>IF(Data!AU181&lt;=QUARTILE(Data!AU$4:AU$195,1),1,IF(Data!AU181&lt;=MEDIAN(Data!AU$4:AU$195),2,IF(Data!AU181&lt;=QUARTILE(Data!AU$4:AU$195,3),3,4)))</f>
        <v>3</v>
      </c>
      <c r="AV181" s="25">
        <f>IF(Data!AV181&lt;=QUARTILE(Data!AV$4:AV$195,1),1,IF(Data!AV181&lt;=MEDIAN(Data!AV$4:AV$195),2,IF(Data!AV181&lt;=QUARTILE(Data!AV$4:AV$195,3),3,4)))</f>
        <v>2</v>
      </c>
      <c r="AW181" s="28">
        <f>IF(Data!AW181&lt;=QUARTILE(Data!AW$4:AW$195,1),1,IF(Data!AW181&lt;=MEDIAN(Data!AW$4:AW$195),2,IF(Data!AW181&lt;=QUARTILE(Data!AW$4:AW$195,3),3,4)))</f>
        <v>3</v>
      </c>
      <c r="AX181" s="28">
        <f>IF(Data!AX181&lt;=QUARTILE(Data!AX$4:AX$195,1),1,IF(Data!AX181&lt;=MEDIAN(Data!AX$4:AX$195),2,IF(Data!AX181&lt;=QUARTILE(Data!AX$4:AX$195,3),3,4)))</f>
        <v>3</v>
      </c>
      <c r="AY181" s="22">
        <f>IF(Data!AY181&lt;=QUARTILE(Data!AY$4:AY$195,1),1,IF(Data!AY181&lt;=MEDIAN(Data!AY$4:AY$195),2,IF(Data!AY181&lt;=QUARTILE(Data!AY$4:AY$195,3),3,4)))</f>
        <v>3</v>
      </c>
      <c r="AZ181" s="25">
        <f>IF(Data!AZ181&lt;=QUARTILE(Data!AZ$4:AZ$195,1),1,IF(Data!AZ181&lt;=MEDIAN(Data!AZ$4:AZ$195),2,IF(Data!AZ181&lt;=QUARTILE(Data!AZ$4:AZ$195,3),3,4)))</f>
        <v>1</v>
      </c>
      <c r="BA181" s="22">
        <f>IF(Data!BA181&lt;=QUARTILE(Data!BA$4:BA$195,1),1,IF(Data!BA181&lt;=MEDIAN(Data!BA$4:BA$195),2,IF(Data!BA181&lt;=QUARTILE(Data!BA$4:BA$195,3),3,4)))</f>
        <v>2</v>
      </c>
    </row>
    <row r="182" spans="1:53" x14ac:dyDescent="0.25">
      <c r="A182" s="4" t="s">
        <v>3</v>
      </c>
      <c r="B182" s="40">
        <v>2004</v>
      </c>
      <c r="C182" s="25">
        <v>14</v>
      </c>
      <c r="D182" s="28">
        <v>2</v>
      </c>
      <c r="E182" s="77" t="s">
        <v>97</v>
      </c>
      <c r="F182" s="28">
        <v>12.8</v>
      </c>
      <c r="G182" s="28">
        <v>6.3</v>
      </c>
      <c r="H182" s="22">
        <v>6.5</v>
      </c>
      <c r="I182" s="25">
        <f>IF(Data!I182&lt;=QUARTILE(Data!I$4:I$195,1),1,IF(Data!I182&lt;=MEDIAN(Data!I$4:I$195),2,IF(Data!I182&lt;=QUARTILE(Data!I$4:I$195,3),3,4)))</f>
        <v>4</v>
      </c>
      <c r="J182" s="28">
        <f>IF(Data!J182&lt;=QUARTILE(Data!J$4:J$195,1),1,IF(Data!J182&lt;=MEDIAN(Data!J$4:J$195),2,IF(Data!J182&lt;=QUARTILE(Data!J$4:J$195,3),3,4)))</f>
        <v>4</v>
      </c>
      <c r="K182" s="28">
        <f>IF(Data!K182&lt;=QUARTILE(Data!K$4:K$195,1),1,IF(Data!K182&lt;=MEDIAN(Data!K$4:K$195),2,IF(Data!K182&lt;=QUARTILE(Data!K$4:K$195,3),3,4)))</f>
        <v>4</v>
      </c>
      <c r="L182" s="22">
        <f>IF(Data!L182&lt;=QUARTILE(Data!L$4:L$195,1),1,IF(Data!L182&lt;=MEDIAN(Data!L$4:L$195),2,IF(Data!L182&lt;=QUARTILE(Data!L$4:L$195,3),3,4)))</f>
        <v>4</v>
      </c>
      <c r="M182" s="28">
        <f>IF(Data!M182&lt;=QUARTILE(Data!M$4:M$195,1),1,IF(Data!M182&lt;=MEDIAN(Data!M$4:M$195),2,IF(Data!M182&lt;=QUARTILE(Data!M$4:M$195,3),3,4)))</f>
        <v>2</v>
      </c>
      <c r="N182" s="28">
        <f>IF(Data!N182&lt;=QUARTILE(Data!N$4:N$195,1),1,IF(Data!N182&lt;=MEDIAN(Data!N$4:N$195),2,IF(Data!N182&lt;=QUARTILE(Data!N$4:N$195,3),3,4)))</f>
        <v>2</v>
      </c>
      <c r="O182" s="28">
        <f>IF(Data!O182&lt;=QUARTILE(Data!O$4:O$195,1),1,IF(Data!O182&lt;=MEDIAN(Data!O$4:O$195),2,IF(Data!O182&lt;=QUARTILE(Data!O$4:O$195,3),3,4)))</f>
        <v>3</v>
      </c>
      <c r="P182" s="28">
        <f>IF(Data!P182&lt;=QUARTILE(Data!P$4:P$195,1),1,IF(Data!P182&lt;=MEDIAN(Data!P$4:P$195),2,IF(Data!P182&lt;=QUARTILE(Data!P$4:P$195,3),3,4)))</f>
        <v>4</v>
      </c>
      <c r="Q182" s="28">
        <f>IF(Data!Q182&lt;=QUARTILE(Data!Q$4:Q$195,1),1,IF(Data!Q182&lt;=MEDIAN(Data!Q$4:Q$195),2,IF(Data!Q182&lt;=QUARTILE(Data!Q$4:Q$195,3),3,4)))</f>
        <v>4</v>
      </c>
      <c r="R182" s="28">
        <f>IF(Data!R182&lt;=QUARTILE(Data!R$4:R$195,1),1,IF(Data!R182&lt;=MEDIAN(Data!R$4:R$195),2,IF(Data!R182&lt;=QUARTILE(Data!R$4:R$195,3),3,4)))</f>
        <v>4</v>
      </c>
      <c r="S182" s="28">
        <f>IF(Data!S182&lt;=QUARTILE(Data!S$4:S$195,1),1,IF(Data!S182&lt;=MEDIAN(Data!S$4:S$195),2,IF(Data!S182&lt;=QUARTILE(Data!S$4:S$195,3),3,4)))</f>
        <v>1</v>
      </c>
      <c r="T182" s="22">
        <f>IF(Data!T182&lt;=QUARTILE(Data!T$4:T$195,1),1,IF(Data!T182&lt;=MEDIAN(Data!T$4:T$195),2,IF(Data!T182&lt;=QUARTILE(Data!T$4:T$195,3),3,4)))</f>
        <v>1</v>
      </c>
      <c r="U182" s="25">
        <f>IF(Data!U182&lt;=QUARTILE(Data!U$4:U$195,1),1,IF(Data!U182&lt;=MEDIAN(Data!U$4:U$195),2,IF(Data!U182&lt;=QUARTILE(Data!U$4:U$195,3),3,4)))</f>
        <v>4</v>
      </c>
      <c r="V182" s="28">
        <f>IF(Data!V182&lt;=QUARTILE(Data!V$4:V$195,1),1,IF(Data!V182&lt;=MEDIAN(Data!V$4:V$195),2,IF(Data!V182&lt;=QUARTILE(Data!V$4:V$195,3),3,4)))</f>
        <v>4</v>
      </c>
      <c r="W182" s="28">
        <f>IF(Data!W182&lt;=QUARTILE(Data!W$4:W$195,1),1,IF(Data!W182&lt;=MEDIAN(Data!W$4:W$195),2,IF(Data!W182&lt;=QUARTILE(Data!W$4:W$195,3),3,4)))</f>
        <v>3</v>
      </c>
      <c r="X182" s="22">
        <f>IF(Data!X182&lt;=QUARTILE(Data!X$4:X$195,1),1,IF(Data!X182&lt;=MEDIAN(Data!X$4:X$195),2,IF(Data!X182&lt;=QUARTILE(Data!X$4:X$195,3),3,4)))</f>
        <v>4</v>
      </c>
      <c r="Y182" s="33">
        <f>IF(Data!Y182&lt;=QUARTILE(Data!Y$4:Y$195,1),1,IF(Data!Y182&lt;=MEDIAN(Data!Y$4:Y$195),2,IF(Data!Y182&lt;=QUARTILE(Data!Y$4:Y$195,3),3,4)))</f>
        <v>2</v>
      </c>
      <c r="Z182" s="34">
        <f>IF(Data!Z182&lt;=QUARTILE(Data!Z$4:Z$195,1),1,IF(Data!Z182&lt;=MEDIAN(Data!Z$4:Z$195),2,IF(Data!Z182&lt;=QUARTILE(Data!Z$4:Z$195,3),3,4)))</f>
        <v>3</v>
      </c>
      <c r="AA182" s="25">
        <f>IF(Data!AA182&lt;=QUARTILE(Data!AA$4:AA$195,1),1,IF(Data!AA182&lt;=MEDIAN(Data!AA$4:AA$195),2,IF(Data!AA182&lt;=QUARTILE(Data!AA$4:AA$195,3),3,4)))</f>
        <v>3</v>
      </c>
      <c r="AB182" s="22">
        <f>IF(Data!AB182&lt;=QUARTILE(Data!AB$4:AB$195,1),1,IF(Data!AB182&lt;=MEDIAN(Data!AB$4:AB$195),2,IF(Data!AB182&lt;=QUARTILE(Data!AB$4:AB$195,3),3,4)))</f>
        <v>1</v>
      </c>
      <c r="AC182" s="25">
        <f>IF(Data!AC182&lt;=QUARTILE(Data!AC$4:AC$195,1),1,IF(Data!AC182&lt;=MEDIAN(Data!AC$4:AC$195),2,IF(Data!AC182&lt;=QUARTILE(Data!AC$4:AC$195,3),3,4)))</f>
        <v>1</v>
      </c>
      <c r="AD182" s="22">
        <f>IF(Data!AD182&lt;=QUARTILE(Data!AD$4:AD$195,1),1,IF(Data!AD182&lt;=MEDIAN(Data!AD$4:AD$195),2,IF(Data!AD182&lt;=QUARTILE(Data!AD$4:AD$195,3),3,4)))</f>
        <v>2</v>
      </c>
      <c r="AE182" s="28">
        <f>IF(Data!AE182&lt;=QUARTILE(Data!AE$4:AE$195,1),1,IF(Data!AE182&lt;=MEDIAN(Data!AE$4:AE$195),2,IF(Data!AE182&lt;=QUARTILE(Data!AE$4:AE$195,3),3,4)))</f>
        <v>3</v>
      </c>
      <c r="AF182" s="28">
        <f>IF(Data!AF182&lt;=QUARTILE(Data!AF$4:AF$195,1),1,IF(Data!AF182&lt;=MEDIAN(Data!AF$4:AF$195),2,IF(Data!AF182&lt;=QUARTILE(Data!AF$4:AF$195,3),3,4)))</f>
        <v>4</v>
      </c>
      <c r="AG182" s="28">
        <f>IF(Data!AG182&lt;=QUARTILE(Data!AG$4:AG$195,1),1,IF(Data!AG182&lt;=MEDIAN(Data!AG$4:AG$195),2,IF(Data!AG182&lt;=QUARTILE(Data!AG$4:AG$195,3),3,4)))</f>
        <v>3</v>
      </c>
      <c r="AH182" s="22">
        <f>IF(Data!AH182&lt;=QUARTILE(Data!AH$4:AH$195,1),1,IF(Data!AH182&lt;=MEDIAN(Data!AH$4:AH$195),2,IF(Data!AH182&lt;=QUARTILE(Data!AH$4:AH$195,3),3,4)))</f>
        <v>4</v>
      </c>
      <c r="AI182" s="25">
        <f>IF(Data!AI182&lt;=QUARTILE(Data!AI$4:AI$195,1),1,IF(Data!AI182&lt;=MEDIAN(Data!AI$4:AI$195),2,IF(Data!AI182&lt;=QUARTILE(Data!AI$4:AI$195,3),3,4)))</f>
        <v>1</v>
      </c>
      <c r="AJ182" s="22">
        <f>IF(Data!AJ182&lt;=QUARTILE(Data!AJ$4:AJ$195,1),1,IF(Data!AJ182&lt;=MEDIAN(Data!AJ$4:AJ$195),2,IF(Data!AJ182&lt;=QUARTILE(Data!AJ$4:AJ$195,3),3,4)))</f>
        <v>1</v>
      </c>
      <c r="AK182" s="25">
        <f>IF(Data!AK182&lt;=QUARTILE(Data!AK$4:AK$195,1),1,IF(Data!AK182&lt;=MEDIAN(Data!AK$4:AK$195),2,IF(Data!AK182&lt;=QUARTILE(Data!AK$4:AK$195,3),3,4)))</f>
        <v>1</v>
      </c>
      <c r="AL182" s="28">
        <f>IF(Data!AL182&lt;=QUARTILE(Data!AL$4:AL$195,1),1,IF(Data!AL182&lt;=MEDIAN(Data!AL$4:AL$195),2,IF(Data!AL182&lt;=QUARTILE(Data!AL$4:AL$195,3),3,4)))</f>
        <v>2</v>
      </c>
      <c r="AM182" s="28">
        <f>IF(Data!AM182&lt;=QUARTILE(Data!AM$4:AM$195,1),1,IF(Data!AM182&lt;=MEDIAN(Data!AM$4:AM$195),2,IF(Data!AM182&lt;=QUARTILE(Data!AM$4:AM$195,3),3,4)))</f>
        <v>2</v>
      </c>
      <c r="AN182" s="22">
        <f>IF(Data!AN182&lt;=QUARTILE(Data!AN$4:AN$195,1),1,IF(Data!AN182&lt;=MEDIAN(Data!AN$4:AN$195),2,IF(Data!AN182&lt;=QUARTILE(Data!AN$4:AN$195,3),3,4)))</f>
        <v>2</v>
      </c>
      <c r="AO182" s="28">
        <f>IF(Data!AO182&lt;=QUARTILE(Data!AO$4:AO$195,1),1,IF(Data!AO182&lt;=MEDIAN(Data!AO$4:AO$195),2,IF(Data!AO182&lt;=QUARTILE(Data!AO$4:AO$195,3),3,4)))</f>
        <v>3</v>
      </c>
      <c r="AP182" s="28">
        <f>IF(Data!AP182&lt;=QUARTILE(Data!AP$4:AP$195,1),1,IF(Data!AP182&lt;=MEDIAN(Data!AP$4:AP$195),2,IF(Data!AP182&lt;=QUARTILE(Data!AP$4:AP$195,3),3,4)))</f>
        <v>3</v>
      </c>
      <c r="AQ182" s="28">
        <f>IF(Data!AQ182&lt;=QUARTILE(Data!AQ$4:AQ$195,1),1,IF(Data!AQ182&lt;=MEDIAN(Data!AQ$4:AQ$195),2,IF(Data!AQ182&lt;=QUARTILE(Data!AQ$4:AQ$195,3),3,4)))</f>
        <v>3</v>
      </c>
      <c r="AR182" s="28">
        <f>IF(Data!AR182&lt;=QUARTILE(Data!AR$4:AR$195,1),1,IF(Data!AR182&lt;=MEDIAN(Data!AR$4:AR$195),2,IF(Data!AR182&lt;=QUARTILE(Data!AR$4:AR$195,3),3,4)))</f>
        <v>1</v>
      </c>
      <c r="AS182" s="28">
        <f>IF(Data!AS182&lt;=QUARTILE(Data!AS$4:AS$195,1),1,IF(Data!AS182&lt;=MEDIAN(Data!AS$4:AS$195),2,IF(Data!AS182&lt;=QUARTILE(Data!AS$4:AS$195,3),3,4)))</f>
        <v>3</v>
      </c>
      <c r="AT182" s="28">
        <f>IF(Data!AT182&lt;=QUARTILE(Data!AT$4:AT$195,1),1,IF(Data!AT182&lt;=MEDIAN(Data!AT$4:AT$195),2,IF(Data!AT182&lt;=QUARTILE(Data!AT$4:AT$195,3),3,4)))</f>
        <v>4</v>
      </c>
      <c r="AU182" s="22">
        <f>IF(Data!AU182&lt;=QUARTILE(Data!AU$4:AU$195,1),1,IF(Data!AU182&lt;=MEDIAN(Data!AU$4:AU$195),2,IF(Data!AU182&lt;=QUARTILE(Data!AU$4:AU$195,3),3,4)))</f>
        <v>4</v>
      </c>
      <c r="AV182" s="25">
        <f>IF(Data!AV182&lt;=QUARTILE(Data!AV$4:AV$195,1),1,IF(Data!AV182&lt;=MEDIAN(Data!AV$4:AV$195),2,IF(Data!AV182&lt;=QUARTILE(Data!AV$4:AV$195,3),3,4)))</f>
        <v>1</v>
      </c>
      <c r="AW182" s="28">
        <f>IF(Data!AW182&lt;=QUARTILE(Data!AW$4:AW$195,1),1,IF(Data!AW182&lt;=MEDIAN(Data!AW$4:AW$195),2,IF(Data!AW182&lt;=QUARTILE(Data!AW$4:AW$195,3),3,4)))</f>
        <v>1</v>
      </c>
      <c r="AX182" s="28">
        <f>IF(Data!AX182&lt;=QUARTILE(Data!AX$4:AX$195,1),1,IF(Data!AX182&lt;=MEDIAN(Data!AX$4:AX$195),2,IF(Data!AX182&lt;=QUARTILE(Data!AX$4:AX$195,3),3,4)))</f>
        <v>1</v>
      </c>
      <c r="AY182" s="22">
        <f>IF(Data!AY182&lt;=QUARTILE(Data!AY$4:AY$195,1),1,IF(Data!AY182&lt;=MEDIAN(Data!AY$4:AY$195),2,IF(Data!AY182&lt;=QUARTILE(Data!AY$4:AY$195,3),3,4)))</f>
        <v>1</v>
      </c>
      <c r="AZ182" s="25">
        <f>IF(Data!AZ182&lt;=QUARTILE(Data!AZ$4:AZ$195,1),1,IF(Data!AZ182&lt;=MEDIAN(Data!AZ$4:AZ$195),2,IF(Data!AZ182&lt;=QUARTILE(Data!AZ$4:AZ$195,3),3,4)))</f>
        <v>4</v>
      </c>
      <c r="BA182" s="22">
        <f>IF(Data!BA182&lt;=QUARTILE(Data!BA$4:BA$195,1),1,IF(Data!BA182&lt;=MEDIAN(Data!BA$4:BA$195),2,IF(Data!BA182&lt;=QUARTILE(Data!BA$4:BA$195,3),3,4)))</f>
        <v>4</v>
      </c>
    </row>
    <row r="183" spans="1:53" x14ac:dyDescent="0.25">
      <c r="A183" s="4" t="s">
        <v>27</v>
      </c>
      <c r="B183" s="40">
        <v>2004</v>
      </c>
      <c r="C183" s="25">
        <v>8</v>
      </c>
      <c r="D183" s="28">
        <v>8</v>
      </c>
      <c r="E183" s="77" t="s">
        <v>96</v>
      </c>
      <c r="F183" s="28">
        <v>-5.6</v>
      </c>
      <c r="G183" s="28">
        <v>-1.2</v>
      </c>
      <c r="H183" s="22">
        <v>-4.3</v>
      </c>
      <c r="I183" s="25">
        <f>IF(Data!I183&lt;=QUARTILE(Data!I$4:I$195,1),1,IF(Data!I183&lt;=MEDIAN(Data!I$4:I$195),2,IF(Data!I183&lt;=QUARTILE(Data!I$4:I$195,3),3,4)))</f>
        <v>3</v>
      </c>
      <c r="J183" s="28">
        <f>IF(Data!J183&lt;=QUARTILE(Data!J$4:J$195,1),1,IF(Data!J183&lt;=MEDIAN(Data!J$4:J$195),2,IF(Data!J183&lt;=QUARTILE(Data!J$4:J$195,3),3,4)))</f>
        <v>2</v>
      </c>
      <c r="K183" s="28">
        <f>IF(Data!K183&lt;=QUARTILE(Data!K$4:K$195,1),1,IF(Data!K183&lt;=MEDIAN(Data!K$4:K$195),2,IF(Data!K183&lt;=QUARTILE(Data!K$4:K$195,3),3,4)))</f>
        <v>2</v>
      </c>
      <c r="L183" s="22">
        <f>IF(Data!L183&lt;=QUARTILE(Data!L$4:L$195,1),1,IF(Data!L183&lt;=MEDIAN(Data!L$4:L$195),2,IF(Data!L183&lt;=QUARTILE(Data!L$4:L$195,3),3,4)))</f>
        <v>2</v>
      </c>
      <c r="M183" s="28">
        <f>IF(Data!M183&lt;=QUARTILE(Data!M$4:M$195,1),1,IF(Data!M183&lt;=MEDIAN(Data!M$4:M$195),2,IF(Data!M183&lt;=QUARTILE(Data!M$4:M$195,3),3,4)))</f>
        <v>2</v>
      </c>
      <c r="N183" s="28">
        <f>IF(Data!N183&lt;=QUARTILE(Data!N$4:N$195,1),1,IF(Data!N183&lt;=MEDIAN(Data!N$4:N$195),2,IF(Data!N183&lt;=QUARTILE(Data!N$4:N$195,3),3,4)))</f>
        <v>3</v>
      </c>
      <c r="O183" s="28">
        <f>IF(Data!O183&lt;=QUARTILE(Data!O$4:O$195,1),1,IF(Data!O183&lt;=MEDIAN(Data!O$4:O$195),2,IF(Data!O183&lt;=QUARTILE(Data!O$4:O$195,3),3,4)))</f>
        <v>3</v>
      </c>
      <c r="P183" s="28">
        <f>IF(Data!P183&lt;=QUARTILE(Data!P$4:P$195,1),1,IF(Data!P183&lt;=MEDIAN(Data!P$4:P$195),2,IF(Data!P183&lt;=QUARTILE(Data!P$4:P$195,3),3,4)))</f>
        <v>2</v>
      </c>
      <c r="Q183" s="28">
        <f>IF(Data!Q183&lt;=QUARTILE(Data!Q$4:Q$195,1),1,IF(Data!Q183&lt;=MEDIAN(Data!Q$4:Q$195),2,IF(Data!Q183&lt;=QUARTILE(Data!Q$4:Q$195,3),3,4)))</f>
        <v>3</v>
      </c>
      <c r="R183" s="28">
        <f>IF(Data!R183&lt;=QUARTILE(Data!R$4:R$195,1),1,IF(Data!R183&lt;=MEDIAN(Data!R$4:R$195),2,IF(Data!R183&lt;=QUARTILE(Data!R$4:R$195,3),3,4)))</f>
        <v>2</v>
      </c>
      <c r="S183" s="28">
        <f>IF(Data!S183&lt;=QUARTILE(Data!S$4:S$195,1),1,IF(Data!S183&lt;=MEDIAN(Data!S$4:S$195),2,IF(Data!S183&lt;=QUARTILE(Data!S$4:S$195,3),3,4)))</f>
        <v>3</v>
      </c>
      <c r="T183" s="22">
        <f>IF(Data!T183&lt;=QUARTILE(Data!T$4:T$195,1),1,IF(Data!T183&lt;=MEDIAN(Data!T$4:T$195),2,IF(Data!T183&lt;=QUARTILE(Data!T$4:T$195,3),3,4)))</f>
        <v>3</v>
      </c>
      <c r="U183" s="25">
        <f>IF(Data!U183&lt;=QUARTILE(Data!U$4:U$195,1),1,IF(Data!U183&lt;=MEDIAN(Data!U$4:U$195),2,IF(Data!U183&lt;=QUARTILE(Data!U$4:U$195,3),3,4)))</f>
        <v>1</v>
      </c>
      <c r="V183" s="28">
        <f>IF(Data!V183&lt;=QUARTILE(Data!V$4:V$195,1),1,IF(Data!V183&lt;=MEDIAN(Data!V$4:V$195),2,IF(Data!V183&lt;=QUARTILE(Data!V$4:V$195,3),3,4)))</f>
        <v>2</v>
      </c>
      <c r="W183" s="28">
        <f>IF(Data!W183&lt;=QUARTILE(Data!W$4:W$195,1),1,IF(Data!W183&lt;=MEDIAN(Data!W$4:W$195),2,IF(Data!W183&lt;=QUARTILE(Data!W$4:W$195,3),3,4)))</f>
        <v>3</v>
      </c>
      <c r="X183" s="22">
        <f>IF(Data!X183&lt;=QUARTILE(Data!X$4:X$195,1),1,IF(Data!X183&lt;=MEDIAN(Data!X$4:X$195),2,IF(Data!X183&lt;=QUARTILE(Data!X$4:X$195,3),3,4)))</f>
        <v>1</v>
      </c>
      <c r="Y183" s="33">
        <f>IF(Data!Y183&lt;=QUARTILE(Data!Y$4:Y$195,1),1,IF(Data!Y183&lt;=MEDIAN(Data!Y$4:Y$195),2,IF(Data!Y183&lt;=QUARTILE(Data!Y$4:Y$195,3),3,4)))</f>
        <v>2</v>
      </c>
      <c r="Z183" s="34">
        <f>IF(Data!Z183&lt;=QUARTILE(Data!Z$4:Z$195,1),1,IF(Data!Z183&lt;=MEDIAN(Data!Z$4:Z$195),2,IF(Data!Z183&lt;=QUARTILE(Data!Z$4:Z$195,3),3,4)))</f>
        <v>1</v>
      </c>
      <c r="AA183" s="25">
        <f>IF(Data!AA183&lt;=QUARTILE(Data!AA$4:AA$195,1),1,IF(Data!AA183&lt;=MEDIAN(Data!AA$4:AA$195),2,IF(Data!AA183&lt;=QUARTILE(Data!AA$4:AA$195,3),3,4)))</f>
        <v>3</v>
      </c>
      <c r="AB183" s="22">
        <f>IF(Data!AB183&lt;=QUARTILE(Data!AB$4:AB$195,1),1,IF(Data!AB183&lt;=MEDIAN(Data!AB$4:AB$195),2,IF(Data!AB183&lt;=QUARTILE(Data!AB$4:AB$195,3),3,4)))</f>
        <v>3</v>
      </c>
      <c r="AC183" s="25">
        <f>IF(Data!AC183&lt;=QUARTILE(Data!AC$4:AC$195,1),1,IF(Data!AC183&lt;=MEDIAN(Data!AC$4:AC$195),2,IF(Data!AC183&lt;=QUARTILE(Data!AC$4:AC$195,3),3,4)))</f>
        <v>4</v>
      </c>
      <c r="AD183" s="22">
        <f>IF(Data!AD183&lt;=QUARTILE(Data!AD$4:AD$195,1),1,IF(Data!AD183&lt;=MEDIAN(Data!AD$4:AD$195),2,IF(Data!AD183&lt;=QUARTILE(Data!AD$4:AD$195,3),3,4)))</f>
        <v>4</v>
      </c>
      <c r="AE183" s="28">
        <f>IF(Data!AE183&lt;=QUARTILE(Data!AE$4:AE$195,1),1,IF(Data!AE183&lt;=MEDIAN(Data!AE$4:AE$195),2,IF(Data!AE183&lt;=QUARTILE(Data!AE$4:AE$195,3),3,4)))</f>
        <v>2</v>
      </c>
      <c r="AF183" s="28">
        <f>IF(Data!AF183&lt;=QUARTILE(Data!AF$4:AF$195,1),1,IF(Data!AF183&lt;=MEDIAN(Data!AF$4:AF$195),2,IF(Data!AF183&lt;=QUARTILE(Data!AF$4:AF$195,3),3,4)))</f>
        <v>2</v>
      </c>
      <c r="AG183" s="28">
        <f>IF(Data!AG183&lt;=QUARTILE(Data!AG$4:AG$195,1),1,IF(Data!AG183&lt;=MEDIAN(Data!AG$4:AG$195),2,IF(Data!AG183&lt;=QUARTILE(Data!AG$4:AG$195,3),3,4)))</f>
        <v>1</v>
      </c>
      <c r="AH183" s="22">
        <f>IF(Data!AH183&lt;=QUARTILE(Data!AH$4:AH$195,1),1,IF(Data!AH183&lt;=MEDIAN(Data!AH$4:AH$195),2,IF(Data!AH183&lt;=QUARTILE(Data!AH$4:AH$195,3),3,4)))</f>
        <v>2</v>
      </c>
      <c r="AI183" s="25">
        <f>IF(Data!AI183&lt;=QUARTILE(Data!AI$4:AI$195,1),1,IF(Data!AI183&lt;=MEDIAN(Data!AI$4:AI$195),2,IF(Data!AI183&lt;=QUARTILE(Data!AI$4:AI$195,3),3,4)))</f>
        <v>4</v>
      </c>
      <c r="AJ183" s="22">
        <f>IF(Data!AJ183&lt;=QUARTILE(Data!AJ$4:AJ$195,1),1,IF(Data!AJ183&lt;=MEDIAN(Data!AJ$4:AJ$195),2,IF(Data!AJ183&lt;=QUARTILE(Data!AJ$4:AJ$195,3),3,4)))</f>
        <v>4</v>
      </c>
      <c r="AK183" s="25">
        <f>IF(Data!AK183&lt;=QUARTILE(Data!AK$4:AK$195,1),1,IF(Data!AK183&lt;=MEDIAN(Data!AK$4:AK$195),2,IF(Data!AK183&lt;=QUARTILE(Data!AK$4:AK$195,3),3,4)))</f>
        <v>4</v>
      </c>
      <c r="AL183" s="28">
        <f>IF(Data!AL183&lt;=QUARTILE(Data!AL$4:AL$195,1),1,IF(Data!AL183&lt;=MEDIAN(Data!AL$4:AL$195),2,IF(Data!AL183&lt;=QUARTILE(Data!AL$4:AL$195,3),3,4)))</f>
        <v>4</v>
      </c>
      <c r="AM183" s="28">
        <f>IF(Data!AM183&lt;=QUARTILE(Data!AM$4:AM$195,1),1,IF(Data!AM183&lt;=MEDIAN(Data!AM$4:AM$195),2,IF(Data!AM183&lt;=QUARTILE(Data!AM$4:AM$195,3),3,4)))</f>
        <v>4</v>
      </c>
      <c r="AN183" s="22">
        <f>IF(Data!AN183&lt;=QUARTILE(Data!AN$4:AN$195,1),1,IF(Data!AN183&lt;=MEDIAN(Data!AN$4:AN$195),2,IF(Data!AN183&lt;=QUARTILE(Data!AN$4:AN$195,3),3,4)))</f>
        <v>4</v>
      </c>
      <c r="AO183" s="28">
        <f>IF(Data!AO183&lt;=QUARTILE(Data!AO$4:AO$195,1),1,IF(Data!AO183&lt;=MEDIAN(Data!AO$4:AO$195),2,IF(Data!AO183&lt;=QUARTILE(Data!AO$4:AO$195,3),3,4)))</f>
        <v>3</v>
      </c>
      <c r="AP183" s="28">
        <f>IF(Data!AP183&lt;=QUARTILE(Data!AP$4:AP$195,1),1,IF(Data!AP183&lt;=MEDIAN(Data!AP$4:AP$195),2,IF(Data!AP183&lt;=QUARTILE(Data!AP$4:AP$195,3),3,4)))</f>
        <v>3</v>
      </c>
      <c r="AQ183" s="28">
        <f>IF(Data!AQ183&lt;=QUARTILE(Data!AQ$4:AQ$195,1),1,IF(Data!AQ183&lt;=MEDIAN(Data!AQ$4:AQ$195),2,IF(Data!AQ183&lt;=QUARTILE(Data!AQ$4:AQ$195,3),3,4)))</f>
        <v>4</v>
      </c>
      <c r="AR183" s="28">
        <f>IF(Data!AR183&lt;=QUARTILE(Data!AR$4:AR$195,1),1,IF(Data!AR183&lt;=MEDIAN(Data!AR$4:AR$195),2,IF(Data!AR183&lt;=QUARTILE(Data!AR$4:AR$195,3),3,4)))</f>
        <v>3</v>
      </c>
      <c r="AS183" s="28">
        <f>IF(Data!AS183&lt;=QUARTILE(Data!AS$4:AS$195,1),1,IF(Data!AS183&lt;=MEDIAN(Data!AS$4:AS$195),2,IF(Data!AS183&lt;=QUARTILE(Data!AS$4:AS$195,3),3,4)))</f>
        <v>4</v>
      </c>
      <c r="AT183" s="28">
        <f>IF(Data!AT183&lt;=QUARTILE(Data!AT$4:AT$195,1),1,IF(Data!AT183&lt;=MEDIAN(Data!AT$4:AT$195),2,IF(Data!AT183&lt;=QUARTILE(Data!AT$4:AT$195,3),3,4)))</f>
        <v>3</v>
      </c>
      <c r="AU183" s="22">
        <f>IF(Data!AU183&lt;=QUARTILE(Data!AU$4:AU$195,1),1,IF(Data!AU183&lt;=MEDIAN(Data!AU$4:AU$195),2,IF(Data!AU183&lt;=QUARTILE(Data!AU$4:AU$195,3),3,4)))</f>
        <v>2</v>
      </c>
      <c r="AV183" s="25">
        <f>IF(Data!AV183&lt;=QUARTILE(Data!AV$4:AV$195,1),1,IF(Data!AV183&lt;=MEDIAN(Data!AV$4:AV$195),2,IF(Data!AV183&lt;=QUARTILE(Data!AV$4:AV$195,3),3,4)))</f>
        <v>4</v>
      </c>
      <c r="AW183" s="28">
        <f>IF(Data!AW183&lt;=QUARTILE(Data!AW$4:AW$195,1),1,IF(Data!AW183&lt;=MEDIAN(Data!AW$4:AW$195),2,IF(Data!AW183&lt;=QUARTILE(Data!AW$4:AW$195,3),3,4)))</f>
        <v>4</v>
      </c>
      <c r="AX183" s="28">
        <f>IF(Data!AX183&lt;=QUARTILE(Data!AX$4:AX$195,1),1,IF(Data!AX183&lt;=MEDIAN(Data!AX$4:AX$195),2,IF(Data!AX183&lt;=QUARTILE(Data!AX$4:AX$195,3),3,4)))</f>
        <v>3</v>
      </c>
      <c r="AY183" s="22">
        <f>IF(Data!AY183&lt;=QUARTILE(Data!AY$4:AY$195,1),1,IF(Data!AY183&lt;=MEDIAN(Data!AY$4:AY$195),2,IF(Data!AY183&lt;=QUARTILE(Data!AY$4:AY$195,3),3,4)))</f>
        <v>4</v>
      </c>
      <c r="AZ183" s="25">
        <f>IF(Data!AZ183&lt;=QUARTILE(Data!AZ$4:AZ$195,1),1,IF(Data!AZ183&lt;=MEDIAN(Data!AZ$4:AZ$195),2,IF(Data!AZ183&lt;=QUARTILE(Data!AZ$4:AZ$195,3),3,4)))</f>
        <v>1</v>
      </c>
      <c r="BA183" s="22">
        <f>IF(Data!BA183&lt;=QUARTILE(Data!BA$4:BA$195,1),1,IF(Data!BA183&lt;=MEDIAN(Data!BA$4:BA$195),2,IF(Data!BA183&lt;=QUARTILE(Data!BA$4:BA$195,3),3,4)))</f>
        <v>4</v>
      </c>
    </row>
    <row r="184" spans="1:53" x14ac:dyDescent="0.25">
      <c r="A184" s="4" t="s">
        <v>21</v>
      </c>
      <c r="B184" s="40">
        <v>2004</v>
      </c>
      <c r="C184" s="25">
        <v>6</v>
      </c>
      <c r="D184" s="28">
        <v>10</v>
      </c>
      <c r="E184" s="77" t="s">
        <v>96</v>
      </c>
      <c r="F184" s="28">
        <v>-3.9</v>
      </c>
      <c r="G184" s="28">
        <v>-2.2999999999999998</v>
      </c>
      <c r="H184" s="22">
        <v>-1.6</v>
      </c>
      <c r="I184" s="25">
        <f>IF(Data!I184&lt;=QUARTILE(Data!I$4:I$195,1),1,IF(Data!I184&lt;=MEDIAN(Data!I$4:I$195),2,IF(Data!I184&lt;=QUARTILE(Data!I$4:I$195,3),3,4)))</f>
        <v>2</v>
      </c>
      <c r="J184" s="28">
        <f>IF(Data!J184&lt;=QUARTILE(Data!J$4:J$195,1),1,IF(Data!J184&lt;=MEDIAN(Data!J$4:J$195),2,IF(Data!J184&lt;=QUARTILE(Data!J$4:J$195,3),3,4)))</f>
        <v>1</v>
      </c>
      <c r="K184" s="28">
        <f>IF(Data!K184&lt;=QUARTILE(Data!K$4:K$195,1),1,IF(Data!K184&lt;=MEDIAN(Data!K$4:K$195),2,IF(Data!K184&lt;=QUARTILE(Data!K$4:K$195,3),3,4)))</f>
        <v>1</v>
      </c>
      <c r="L184" s="22">
        <f>IF(Data!L184&lt;=QUARTILE(Data!L$4:L$195,1),1,IF(Data!L184&lt;=MEDIAN(Data!L$4:L$195),2,IF(Data!L184&lt;=QUARTILE(Data!L$4:L$195,3),3,4)))</f>
        <v>2</v>
      </c>
      <c r="M184" s="28">
        <f>IF(Data!M184&lt;=QUARTILE(Data!M$4:M$195,1),1,IF(Data!M184&lt;=MEDIAN(Data!M$4:M$195),2,IF(Data!M184&lt;=QUARTILE(Data!M$4:M$195,3),3,4)))</f>
        <v>1</v>
      </c>
      <c r="N184" s="28">
        <f>IF(Data!N184&lt;=QUARTILE(Data!N$4:N$195,1),1,IF(Data!N184&lt;=MEDIAN(Data!N$4:N$195),2,IF(Data!N184&lt;=QUARTILE(Data!N$4:N$195,3),3,4)))</f>
        <v>1</v>
      </c>
      <c r="O184" s="28">
        <f>IF(Data!O184&lt;=QUARTILE(Data!O$4:O$195,1),1,IF(Data!O184&lt;=MEDIAN(Data!O$4:O$195),2,IF(Data!O184&lt;=QUARTILE(Data!O$4:O$195,3),3,4)))</f>
        <v>1</v>
      </c>
      <c r="P184" s="28">
        <f>IF(Data!P184&lt;=QUARTILE(Data!P$4:P$195,1),1,IF(Data!P184&lt;=MEDIAN(Data!P$4:P$195),2,IF(Data!P184&lt;=QUARTILE(Data!P$4:P$195,3),3,4)))</f>
        <v>1</v>
      </c>
      <c r="Q184" s="28">
        <f>IF(Data!Q184&lt;=QUARTILE(Data!Q$4:Q$195,1),1,IF(Data!Q184&lt;=MEDIAN(Data!Q$4:Q$195),2,IF(Data!Q184&lt;=QUARTILE(Data!Q$4:Q$195,3),3,4)))</f>
        <v>1</v>
      </c>
      <c r="R184" s="28">
        <f>IF(Data!R184&lt;=QUARTILE(Data!R$4:R$195,1),1,IF(Data!R184&lt;=MEDIAN(Data!R$4:R$195),2,IF(Data!R184&lt;=QUARTILE(Data!R$4:R$195,3),3,4)))</f>
        <v>2</v>
      </c>
      <c r="S184" s="28">
        <f>IF(Data!S184&lt;=QUARTILE(Data!S$4:S$195,1),1,IF(Data!S184&lt;=MEDIAN(Data!S$4:S$195),2,IF(Data!S184&lt;=QUARTILE(Data!S$4:S$195,3),3,4)))</f>
        <v>4</v>
      </c>
      <c r="T184" s="22">
        <f>IF(Data!T184&lt;=QUARTILE(Data!T$4:T$195,1),1,IF(Data!T184&lt;=MEDIAN(Data!T$4:T$195),2,IF(Data!T184&lt;=QUARTILE(Data!T$4:T$195,3),3,4)))</f>
        <v>3</v>
      </c>
      <c r="U184" s="25">
        <f>IF(Data!U184&lt;=QUARTILE(Data!U$4:U$195,1),1,IF(Data!U184&lt;=MEDIAN(Data!U$4:U$195),2,IF(Data!U184&lt;=QUARTILE(Data!U$4:U$195,3),3,4)))</f>
        <v>2</v>
      </c>
      <c r="V184" s="28">
        <f>IF(Data!V184&lt;=QUARTILE(Data!V$4:V$195,1),1,IF(Data!V184&lt;=MEDIAN(Data!V$4:V$195),2,IF(Data!V184&lt;=QUARTILE(Data!V$4:V$195,3),3,4)))</f>
        <v>3</v>
      </c>
      <c r="W184" s="28">
        <f>IF(Data!W184&lt;=QUARTILE(Data!W$4:W$195,1),1,IF(Data!W184&lt;=MEDIAN(Data!W$4:W$195),2,IF(Data!W184&lt;=QUARTILE(Data!W$4:W$195,3),3,4)))</f>
        <v>4</v>
      </c>
      <c r="X184" s="22">
        <f>IF(Data!X184&lt;=QUARTILE(Data!X$4:X$195,1),1,IF(Data!X184&lt;=MEDIAN(Data!X$4:X$195),2,IF(Data!X184&lt;=QUARTILE(Data!X$4:X$195,3),3,4)))</f>
        <v>3</v>
      </c>
      <c r="Y184" s="33">
        <f>IF(Data!Y184&lt;=QUARTILE(Data!Y$4:Y$195,1),1,IF(Data!Y184&lt;=MEDIAN(Data!Y$4:Y$195),2,IF(Data!Y184&lt;=QUARTILE(Data!Y$4:Y$195,3),3,4)))</f>
        <v>1</v>
      </c>
      <c r="Z184" s="34">
        <f>IF(Data!Z184&lt;=QUARTILE(Data!Z$4:Z$195,1),1,IF(Data!Z184&lt;=MEDIAN(Data!Z$4:Z$195),2,IF(Data!Z184&lt;=QUARTILE(Data!Z$4:Z$195,3),3,4)))</f>
        <v>2</v>
      </c>
      <c r="AA184" s="25">
        <f>IF(Data!AA184&lt;=QUARTILE(Data!AA$4:AA$195,1),1,IF(Data!AA184&lt;=MEDIAN(Data!AA$4:AA$195),2,IF(Data!AA184&lt;=QUARTILE(Data!AA$4:AA$195,3),3,4)))</f>
        <v>3</v>
      </c>
      <c r="AB184" s="22">
        <f>IF(Data!AB184&lt;=QUARTILE(Data!AB$4:AB$195,1),1,IF(Data!AB184&lt;=MEDIAN(Data!AB$4:AB$195),2,IF(Data!AB184&lt;=QUARTILE(Data!AB$4:AB$195,3),3,4)))</f>
        <v>2</v>
      </c>
      <c r="AC184" s="25">
        <f>IF(Data!AC184&lt;=QUARTILE(Data!AC$4:AC$195,1),1,IF(Data!AC184&lt;=MEDIAN(Data!AC$4:AC$195),2,IF(Data!AC184&lt;=QUARTILE(Data!AC$4:AC$195,3),3,4)))</f>
        <v>3</v>
      </c>
      <c r="AD184" s="22">
        <f>IF(Data!AD184&lt;=QUARTILE(Data!AD$4:AD$195,1),1,IF(Data!AD184&lt;=MEDIAN(Data!AD$4:AD$195),2,IF(Data!AD184&lt;=QUARTILE(Data!AD$4:AD$195,3),3,4)))</f>
        <v>4</v>
      </c>
      <c r="AE184" s="28">
        <f>IF(Data!AE184&lt;=QUARTILE(Data!AE$4:AE$195,1),1,IF(Data!AE184&lt;=MEDIAN(Data!AE$4:AE$195),2,IF(Data!AE184&lt;=QUARTILE(Data!AE$4:AE$195,3),3,4)))</f>
        <v>2</v>
      </c>
      <c r="AF184" s="28">
        <f>IF(Data!AF184&lt;=QUARTILE(Data!AF$4:AF$195,1),1,IF(Data!AF184&lt;=MEDIAN(Data!AF$4:AF$195),2,IF(Data!AF184&lt;=QUARTILE(Data!AF$4:AF$195,3),3,4)))</f>
        <v>2</v>
      </c>
      <c r="AG184" s="28">
        <f>IF(Data!AG184&lt;=QUARTILE(Data!AG$4:AG$195,1),1,IF(Data!AG184&lt;=MEDIAN(Data!AG$4:AG$195),2,IF(Data!AG184&lt;=QUARTILE(Data!AG$4:AG$195,3),3,4)))</f>
        <v>2</v>
      </c>
      <c r="AH184" s="22">
        <f>IF(Data!AH184&lt;=QUARTILE(Data!AH$4:AH$195,1),1,IF(Data!AH184&lt;=MEDIAN(Data!AH$4:AH$195),2,IF(Data!AH184&lt;=QUARTILE(Data!AH$4:AH$195,3),3,4)))</f>
        <v>2</v>
      </c>
      <c r="AI184" s="25">
        <f>IF(Data!AI184&lt;=QUARTILE(Data!AI$4:AI$195,1),1,IF(Data!AI184&lt;=MEDIAN(Data!AI$4:AI$195),2,IF(Data!AI184&lt;=QUARTILE(Data!AI$4:AI$195,3),3,4)))</f>
        <v>2</v>
      </c>
      <c r="AJ184" s="22">
        <f>IF(Data!AJ184&lt;=QUARTILE(Data!AJ$4:AJ$195,1),1,IF(Data!AJ184&lt;=MEDIAN(Data!AJ$4:AJ$195),2,IF(Data!AJ184&lt;=QUARTILE(Data!AJ$4:AJ$195,3),3,4)))</f>
        <v>2</v>
      </c>
      <c r="AK184" s="25">
        <f>IF(Data!AK184&lt;=QUARTILE(Data!AK$4:AK$195,1),1,IF(Data!AK184&lt;=MEDIAN(Data!AK$4:AK$195),2,IF(Data!AK184&lt;=QUARTILE(Data!AK$4:AK$195,3),3,4)))</f>
        <v>3</v>
      </c>
      <c r="AL184" s="28">
        <f>IF(Data!AL184&lt;=QUARTILE(Data!AL$4:AL$195,1),1,IF(Data!AL184&lt;=MEDIAN(Data!AL$4:AL$195),2,IF(Data!AL184&lt;=QUARTILE(Data!AL$4:AL$195,3),3,4)))</f>
        <v>2</v>
      </c>
      <c r="AM184" s="28">
        <f>IF(Data!AM184&lt;=QUARTILE(Data!AM$4:AM$195,1),1,IF(Data!AM184&lt;=MEDIAN(Data!AM$4:AM$195),2,IF(Data!AM184&lt;=QUARTILE(Data!AM$4:AM$195,3),3,4)))</f>
        <v>3</v>
      </c>
      <c r="AN184" s="22">
        <f>IF(Data!AN184&lt;=QUARTILE(Data!AN$4:AN$195,1),1,IF(Data!AN184&lt;=MEDIAN(Data!AN$4:AN$195),2,IF(Data!AN184&lt;=QUARTILE(Data!AN$4:AN$195,3),3,4)))</f>
        <v>3</v>
      </c>
      <c r="AO184" s="28">
        <f>IF(Data!AO184&lt;=QUARTILE(Data!AO$4:AO$195,1),1,IF(Data!AO184&lt;=MEDIAN(Data!AO$4:AO$195),2,IF(Data!AO184&lt;=QUARTILE(Data!AO$4:AO$195,3),3,4)))</f>
        <v>1</v>
      </c>
      <c r="AP184" s="28">
        <f>IF(Data!AP184&lt;=QUARTILE(Data!AP$4:AP$195,1),1,IF(Data!AP184&lt;=MEDIAN(Data!AP$4:AP$195),2,IF(Data!AP184&lt;=QUARTILE(Data!AP$4:AP$195,3),3,4)))</f>
        <v>1</v>
      </c>
      <c r="AQ184" s="28">
        <f>IF(Data!AQ184&lt;=QUARTILE(Data!AQ$4:AQ$195,1),1,IF(Data!AQ184&lt;=MEDIAN(Data!AQ$4:AQ$195),2,IF(Data!AQ184&lt;=QUARTILE(Data!AQ$4:AQ$195,3),3,4)))</f>
        <v>1</v>
      </c>
      <c r="AR184" s="28">
        <f>IF(Data!AR184&lt;=QUARTILE(Data!AR$4:AR$195,1),1,IF(Data!AR184&lt;=MEDIAN(Data!AR$4:AR$195),2,IF(Data!AR184&lt;=QUARTILE(Data!AR$4:AR$195,3),3,4)))</f>
        <v>4</v>
      </c>
      <c r="AS184" s="28">
        <f>IF(Data!AS184&lt;=QUARTILE(Data!AS$4:AS$195,1),1,IF(Data!AS184&lt;=MEDIAN(Data!AS$4:AS$195),2,IF(Data!AS184&lt;=QUARTILE(Data!AS$4:AS$195,3),3,4)))</f>
        <v>2</v>
      </c>
      <c r="AT184" s="28">
        <f>IF(Data!AT184&lt;=QUARTILE(Data!AT$4:AT$195,1),1,IF(Data!AT184&lt;=MEDIAN(Data!AT$4:AT$195),2,IF(Data!AT184&lt;=QUARTILE(Data!AT$4:AT$195,3),3,4)))</f>
        <v>3</v>
      </c>
      <c r="AU184" s="22">
        <f>IF(Data!AU184&lt;=QUARTILE(Data!AU$4:AU$195,1),1,IF(Data!AU184&lt;=MEDIAN(Data!AU$4:AU$195),2,IF(Data!AU184&lt;=QUARTILE(Data!AU$4:AU$195,3),3,4)))</f>
        <v>3</v>
      </c>
      <c r="AV184" s="25">
        <f>IF(Data!AV184&lt;=QUARTILE(Data!AV$4:AV$195,1),1,IF(Data!AV184&lt;=MEDIAN(Data!AV$4:AV$195),2,IF(Data!AV184&lt;=QUARTILE(Data!AV$4:AV$195,3),3,4)))</f>
        <v>4</v>
      </c>
      <c r="AW184" s="28">
        <f>IF(Data!AW184&lt;=QUARTILE(Data!AW$4:AW$195,1),1,IF(Data!AW184&lt;=MEDIAN(Data!AW$4:AW$195),2,IF(Data!AW184&lt;=QUARTILE(Data!AW$4:AW$195,3),3,4)))</f>
        <v>4</v>
      </c>
      <c r="AX184" s="28">
        <f>IF(Data!AX184&lt;=QUARTILE(Data!AX$4:AX$195,1),1,IF(Data!AX184&lt;=MEDIAN(Data!AX$4:AX$195),2,IF(Data!AX184&lt;=QUARTILE(Data!AX$4:AX$195,3),3,4)))</f>
        <v>2</v>
      </c>
      <c r="AY184" s="22">
        <f>IF(Data!AY184&lt;=QUARTILE(Data!AY$4:AY$195,1),1,IF(Data!AY184&lt;=MEDIAN(Data!AY$4:AY$195),2,IF(Data!AY184&lt;=QUARTILE(Data!AY$4:AY$195,3),3,4)))</f>
        <v>4</v>
      </c>
      <c r="AZ184" s="25">
        <f>IF(Data!AZ184&lt;=QUARTILE(Data!AZ$4:AZ$195,1),1,IF(Data!AZ184&lt;=MEDIAN(Data!AZ$4:AZ$195),2,IF(Data!AZ184&lt;=QUARTILE(Data!AZ$4:AZ$195,3),3,4)))</f>
        <v>2</v>
      </c>
      <c r="BA184" s="22">
        <f>IF(Data!BA184&lt;=QUARTILE(Data!BA$4:BA$195,1),1,IF(Data!BA184&lt;=MEDIAN(Data!BA$4:BA$195),2,IF(Data!BA184&lt;=QUARTILE(Data!BA$4:BA$195,3),3,4)))</f>
        <v>3</v>
      </c>
    </row>
    <row r="185" spans="1:53" x14ac:dyDescent="0.25">
      <c r="A185" s="4" t="s">
        <v>4</v>
      </c>
      <c r="B185" s="40">
        <v>2004</v>
      </c>
      <c r="C185" s="25">
        <v>10</v>
      </c>
      <c r="D185" s="28">
        <v>6</v>
      </c>
      <c r="E185" s="77" t="s">
        <v>97</v>
      </c>
      <c r="F185" s="28">
        <v>6.6</v>
      </c>
      <c r="G185" s="28">
        <v>0.5</v>
      </c>
      <c r="H185" s="22">
        <v>6</v>
      </c>
      <c r="I185" s="25">
        <f>IF(Data!I185&lt;=QUARTILE(Data!I$4:I$195,1),1,IF(Data!I185&lt;=MEDIAN(Data!I$4:I$195),2,IF(Data!I185&lt;=QUARTILE(Data!I$4:I$195,3),3,4)))</f>
        <v>2</v>
      </c>
      <c r="J185" s="28">
        <f>IF(Data!J185&lt;=QUARTILE(Data!J$4:J$195,1),1,IF(Data!J185&lt;=MEDIAN(Data!J$4:J$195),2,IF(Data!J185&lt;=QUARTILE(Data!J$4:J$195,3),3,4)))</f>
        <v>3</v>
      </c>
      <c r="K185" s="28">
        <f>IF(Data!K185&lt;=QUARTILE(Data!K$4:K$195,1),1,IF(Data!K185&lt;=MEDIAN(Data!K$4:K$195),2,IF(Data!K185&lt;=QUARTILE(Data!K$4:K$195,3),3,4)))</f>
        <v>2</v>
      </c>
      <c r="L185" s="22">
        <f>IF(Data!L185&lt;=QUARTILE(Data!L$4:L$195,1),1,IF(Data!L185&lt;=MEDIAN(Data!L$4:L$195),2,IF(Data!L185&lt;=QUARTILE(Data!L$4:L$195,3),3,4)))</f>
        <v>3</v>
      </c>
      <c r="M185" s="28">
        <f>IF(Data!M185&lt;=QUARTILE(Data!M$4:M$195,1),1,IF(Data!M185&lt;=MEDIAN(Data!M$4:M$195),2,IF(Data!M185&lt;=QUARTILE(Data!M$4:M$195,3),3,4)))</f>
        <v>1</v>
      </c>
      <c r="N185" s="28">
        <f>IF(Data!N185&lt;=QUARTILE(Data!N$4:N$195,1),1,IF(Data!N185&lt;=MEDIAN(Data!N$4:N$195),2,IF(Data!N185&lt;=QUARTILE(Data!N$4:N$195,3),3,4)))</f>
        <v>1</v>
      </c>
      <c r="O185" s="28">
        <f>IF(Data!O185&lt;=QUARTILE(Data!O$4:O$195,1),1,IF(Data!O185&lt;=MEDIAN(Data!O$4:O$195),2,IF(Data!O185&lt;=QUARTILE(Data!O$4:O$195,3),3,4)))</f>
        <v>2</v>
      </c>
      <c r="P185" s="28">
        <f>IF(Data!P185&lt;=QUARTILE(Data!P$4:P$195,1),1,IF(Data!P185&lt;=MEDIAN(Data!P$4:P$195),2,IF(Data!P185&lt;=QUARTILE(Data!P$4:P$195,3),3,4)))</f>
        <v>2</v>
      </c>
      <c r="Q185" s="28">
        <f>IF(Data!Q185&lt;=QUARTILE(Data!Q$4:Q$195,1),1,IF(Data!Q185&lt;=MEDIAN(Data!Q$4:Q$195),2,IF(Data!Q185&lt;=QUARTILE(Data!Q$4:Q$195,3),3,4)))</f>
        <v>2</v>
      </c>
      <c r="R185" s="28">
        <f>IF(Data!R185&lt;=QUARTILE(Data!R$4:R$195,1),1,IF(Data!R185&lt;=MEDIAN(Data!R$4:R$195),2,IF(Data!R185&lt;=QUARTILE(Data!R$4:R$195,3),3,4)))</f>
        <v>4</v>
      </c>
      <c r="S185" s="28">
        <f>IF(Data!S185&lt;=QUARTILE(Data!S$4:S$195,1),1,IF(Data!S185&lt;=MEDIAN(Data!S$4:S$195),2,IF(Data!S185&lt;=QUARTILE(Data!S$4:S$195,3),3,4)))</f>
        <v>2</v>
      </c>
      <c r="T185" s="22">
        <f>IF(Data!T185&lt;=QUARTILE(Data!T$4:T$195,1),1,IF(Data!T185&lt;=MEDIAN(Data!T$4:T$195),2,IF(Data!T185&lt;=QUARTILE(Data!T$4:T$195,3),3,4)))</f>
        <v>2</v>
      </c>
      <c r="U185" s="25">
        <f>IF(Data!U185&lt;=QUARTILE(Data!U$4:U$195,1),1,IF(Data!U185&lt;=MEDIAN(Data!U$4:U$195),2,IF(Data!U185&lt;=QUARTILE(Data!U$4:U$195,3),3,4)))</f>
        <v>4</v>
      </c>
      <c r="V185" s="28">
        <f>IF(Data!V185&lt;=QUARTILE(Data!V$4:V$195,1),1,IF(Data!V185&lt;=MEDIAN(Data!V$4:V$195),2,IF(Data!V185&lt;=QUARTILE(Data!V$4:V$195,3),3,4)))</f>
        <v>4</v>
      </c>
      <c r="W185" s="28">
        <f>IF(Data!W185&lt;=QUARTILE(Data!W$4:W$195,1),1,IF(Data!W185&lt;=MEDIAN(Data!W$4:W$195),2,IF(Data!W185&lt;=QUARTILE(Data!W$4:W$195,3),3,4)))</f>
        <v>3</v>
      </c>
      <c r="X185" s="22">
        <f>IF(Data!X185&lt;=QUARTILE(Data!X$4:X$195,1),1,IF(Data!X185&lt;=MEDIAN(Data!X$4:X$195),2,IF(Data!X185&lt;=QUARTILE(Data!X$4:X$195,3),3,4)))</f>
        <v>4</v>
      </c>
      <c r="Y185" s="33">
        <f>IF(Data!Y185&lt;=QUARTILE(Data!Y$4:Y$195,1),1,IF(Data!Y185&lt;=MEDIAN(Data!Y$4:Y$195),2,IF(Data!Y185&lt;=QUARTILE(Data!Y$4:Y$195,3),3,4)))</f>
        <v>1</v>
      </c>
      <c r="Z185" s="34">
        <f>IF(Data!Z185&lt;=QUARTILE(Data!Z$4:Z$195,1),1,IF(Data!Z185&lt;=MEDIAN(Data!Z$4:Z$195),2,IF(Data!Z185&lt;=QUARTILE(Data!Z$4:Z$195,3),3,4)))</f>
        <v>1</v>
      </c>
      <c r="AA185" s="25">
        <f>IF(Data!AA185&lt;=QUARTILE(Data!AA$4:AA$195,1),1,IF(Data!AA185&lt;=MEDIAN(Data!AA$4:AA$195),2,IF(Data!AA185&lt;=QUARTILE(Data!AA$4:AA$195,3),3,4)))</f>
        <v>3</v>
      </c>
      <c r="AB185" s="22">
        <f>IF(Data!AB185&lt;=QUARTILE(Data!AB$4:AB$195,1),1,IF(Data!AB185&lt;=MEDIAN(Data!AB$4:AB$195),2,IF(Data!AB185&lt;=QUARTILE(Data!AB$4:AB$195,3),3,4)))</f>
        <v>3</v>
      </c>
      <c r="AC185" s="25">
        <f>IF(Data!AC185&lt;=QUARTILE(Data!AC$4:AC$195,1),1,IF(Data!AC185&lt;=MEDIAN(Data!AC$4:AC$195),2,IF(Data!AC185&lt;=QUARTILE(Data!AC$4:AC$195,3),3,4)))</f>
        <v>1</v>
      </c>
      <c r="AD185" s="22">
        <f>IF(Data!AD185&lt;=QUARTILE(Data!AD$4:AD$195,1),1,IF(Data!AD185&lt;=MEDIAN(Data!AD$4:AD$195),2,IF(Data!AD185&lt;=QUARTILE(Data!AD$4:AD$195,3),3,4)))</f>
        <v>1</v>
      </c>
      <c r="AE185" s="28">
        <f>IF(Data!AE185&lt;=QUARTILE(Data!AE$4:AE$195,1),1,IF(Data!AE185&lt;=MEDIAN(Data!AE$4:AE$195),2,IF(Data!AE185&lt;=QUARTILE(Data!AE$4:AE$195,3),3,4)))</f>
        <v>2</v>
      </c>
      <c r="AF185" s="28">
        <f>IF(Data!AF185&lt;=QUARTILE(Data!AF$4:AF$195,1),1,IF(Data!AF185&lt;=MEDIAN(Data!AF$4:AF$195),2,IF(Data!AF185&lt;=QUARTILE(Data!AF$4:AF$195,3),3,4)))</f>
        <v>1</v>
      </c>
      <c r="AG185" s="28">
        <f>IF(Data!AG185&lt;=QUARTILE(Data!AG$4:AG$195,1),1,IF(Data!AG185&lt;=MEDIAN(Data!AG$4:AG$195),2,IF(Data!AG185&lt;=QUARTILE(Data!AG$4:AG$195,3),3,4)))</f>
        <v>3</v>
      </c>
      <c r="AH185" s="22">
        <f>IF(Data!AH185&lt;=QUARTILE(Data!AH$4:AH$195,1),1,IF(Data!AH185&lt;=MEDIAN(Data!AH$4:AH$195),2,IF(Data!AH185&lt;=QUARTILE(Data!AH$4:AH$195,3),3,4)))</f>
        <v>4</v>
      </c>
      <c r="AI185" s="25">
        <f>IF(Data!AI185&lt;=QUARTILE(Data!AI$4:AI$195,1),1,IF(Data!AI185&lt;=MEDIAN(Data!AI$4:AI$195),2,IF(Data!AI185&lt;=QUARTILE(Data!AI$4:AI$195,3),3,4)))</f>
        <v>3</v>
      </c>
      <c r="AJ185" s="22">
        <f>IF(Data!AJ185&lt;=QUARTILE(Data!AJ$4:AJ$195,1),1,IF(Data!AJ185&lt;=MEDIAN(Data!AJ$4:AJ$195),2,IF(Data!AJ185&lt;=QUARTILE(Data!AJ$4:AJ$195,3),3,4)))</f>
        <v>2</v>
      </c>
      <c r="AK185" s="25">
        <f>IF(Data!AK185&lt;=QUARTILE(Data!AK$4:AK$195,1),1,IF(Data!AK185&lt;=MEDIAN(Data!AK$4:AK$195),2,IF(Data!AK185&lt;=QUARTILE(Data!AK$4:AK$195,3),3,4)))</f>
        <v>1</v>
      </c>
      <c r="AL185" s="28">
        <f>IF(Data!AL185&lt;=QUARTILE(Data!AL$4:AL$195,1),1,IF(Data!AL185&lt;=MEDIAN(Data!AL$4:AL$195),2,IF(Data!AL185&lt;=QUARTILE(Data!AL$4:AL$195,3),3,4)))</f>
        <v>1</v>
      </c>
      <c r="AM185" s="28">
        <f>IF(Data!AM185&lt;=QUARTILE(Data!AM$4:AM$195,1),1,IF(Data!AM185&lt;=MEDIAN(Data!AM$4:AM$195),2,IF(Data!AM185&lt;=QUARTILE(Data!AM$4:AM$195,3),3,4)))</f>
        <v>1</v>
      </c>
      <c r="AN185" s="22">
        <f>IF(Data!AN185&lt;=QUARTILE(Data!AN$4:AN$195,1),1,IF(Data!AN185&lt;=MEDIAN(Data!AN$4:AN$195),2,IF(Data!AN185&lt;=QUARTILE(Data!AN$4:AN$195,3),3,4)))</f>
        <v>2</v>
      </c>
      <c r="AO185" s="28">
        <f>IF(Data!AO185&lt;=QUARTILE(Data!AO$4:AO$195,1),1,IF(Data!AO185&lt;=MEDIAN(Data!AO$4:AO$195),2,IF(Data!AO185&lt;=QUARTILE(Data!AO$4:AO$195,3),3,4)))</f>
        <v>1</v>
      </c>
      <c r="AP185" s="28">
        <f>IF(Data!AP185&lt;=QUARTILE(Data!AP$4:AP$195,1),1,IF(Data!AP185&lt;=MEDIAN(Data!AP$4:AP$195),2,IF(Data!AP185&lt;=QUARTILE(Data!AP$4:AP$195,3),3,4)))</f>
        <v>2</v>
      </c>
      <c r="AQ185" s="28">
        <f>IF(Data!AQ185&lt;=QUARTILE(Data!AQ$4:AQ$195,1),1,IF(Data!AQ185&lt;=MEDIAN(Data!AQ$4:AQ$195),2,IF(Data!AQ185&lt;=QUARTILE(Data!AQ$4:AQ$195,3),3,4)))</f>
        <v>2</v>
      </c>
      <c r="AR185" s="28">
        <f>IF(Data!AR185&lt;=QUARTILE(Data!AR$4:AR$195,1),1,IF(Data!AR185&lt;=MEDIAN(Data!AR$4:AR$195),2,IF(Data!AR185&lt;=QUARTILE(Data!AR$4:AR$195,3),3,4)))</f>
        <v>2</v>
      </c>
      <c r="AS185" s="28">
        <f>IF(Data!AS185&lt;=QUARTILE(Data!AS$4:AS$195,1),1,IF(Data!AS185&lt;=MEDIAN(Data!AS$4:AS$195),2,IF(Data!AS185&lt;=QUARTILE(Data!AS$4:AS$195,3),3,4)))</f>
        <v>2</v>
      </c>
      <c r="AT185" s="28">
        <f>IF(Data!AT185&lt;=QUARTILE(Data!AT$4:AT$195,1),1,IF(Data!AT185&lt;=MEDIAN(Data!AT$4:AT$195),2,IF(Data!AT185&lt;=QUARTILE(Data!AT$4:AT$195,3),3,4)))</f>
        <v>3</v>
      </c>
      <c r="AU185" s="22">
        <f>IF(Data!AU185&lt;=QUARTILE(Data!AU$4:AU$195,1),1,IF(Data!AU185&lt;=MEDIAN(Data!AU$4:AU$195),2,IF(Data!AU185&lt;=QUARTILE(Data!AU$4:AU$195,3),3,4)))</f>
        <v>2</v>
      </c>
      <c r="AV185" s="25">
        <f>IF(Data!AV185&lt;=QUARTILE(Data!AV$4:AV$195,1),1,IF(Data!AV185&lt;=MEDIAN(Data!AV$4:AV$195),2,IF(Data!AV185&lt;=QUARTILE(Data!AV$4:AV$195,3),3,4)))</f>
        <v>2</v>
      </c>
      <c r="AW185" s="28">
        <f>IF(Data!AW185&lt;=QUARTILE(Data!AW$4:AW$195,1),1,IF(Data!AW185&lt;=MEDIAN(Data!AW$4:AW$195),2,IF(Data!AW185&lt;=QUARTILE(Data!AW$4:AW$195,3),3,4)))</f>
        <v>1</v>
      </c>
      <c r="AX185" s="28">
        <f>IF(Data!AX185&lt;=QUARTILE(Data!AX$4:AX$195,1),1,IF(Data!AX185&lt;=MEDIAN(Data!AX$4:AX$195),2,IF(Data!AX185&lt;=QUARTILE(Data!AX$4:AX$195,3),3,4)))</f>
        <v>1</v>
      </c>
      <c r="AY185" s="22">
        <f>IF(Data!AY185&lt;=QUARTILE(Data!AY$4:AY$195,1),1,IF(Data!AY185&lt;=MEDIAN(Data!AY$4:AY$195),2,IF(Data!AY185&lt;=QUARTILE(Data!AY$4:AY$195,3),3,4)))</f>
        <v>2</v>
      </c>
      <c r="AZ185" s="25">
        <f>IF(Data!AZ185&lt;=QUARTILE(Data!AZ$4:AZ$195,1),1,IF(Data!AZ185&lt;=MEDIAN(Data!AZ$4:AZ$195),2,IF(Data!AZ185&lt;=QUARTILE(Data!AZ$4:AZ$195,3),3,4)))</f>
        <v>3</v>
      </c>
      <c r="BA185" s="22">
        <f>IF(Data!BA185&lt;=QUARTILE(Data!BA$4:BA$195,1),1,IF(Data!BA185&lt;=MEDIAN(Data!BA$4:BA$195),2,IF(Data!BA185&lt;=QUARTILE(Data!BA$4:BA$195,3),3,4)))</f>
        <v>3</v>
      </c>
    </row>
    <row r="186" spans="1:53" x14ac:dyDescent="0.25">
      <c r="A186" s="4" t="s">
        <v>17</v>
      </c>
      <c r="B186" s="40">
        <v>2004</v>
      </c>
      <c r="C186" s="25">
        <v>5</v>
      </c>
      <c r="D186" s="28">
        <v>11</v>
      </c>
      <c r="E186" s="77" t="s">
        <v>96</v>
      </c>
      <c r="F186" s="28">
        <v>-4.3</v>
      </c>
      <c r="G186" s="28">
        <v>-0.6</v>
      </c>
      <c r="H186" s="22">
        <v>-3.7</v>
      </c>
      <c r="I186" s="25">
        <f>IF(Data!I186&lt;=QUARTILE(Data!I$4:I$195,1),1,IF(Data!I186&lt;=MEDIAN(Data!I$4:I$195),2,IF(Data!I186&lt;=QUARTILE(Data!I$4:I$195,3),3,4)))</f>
        <v>2</v>
      </c>
      <c r="J186" s="28">
        <f>IF(Data!J186&lt;=QUARTILE(Data!J$4:J$195,1),1,IF(Data!J186&lt;=MEDIAN(Data!J$4:J$195),2,IF(Data!J186&lt;=QUARTILE(Data!J$4:J$195,3),3,4)))</f>
        <v>2</v>
      </c>
      <c r="K186" s="28">
        <f>IF(Data!K186&lt;=QUARTILE(Data!K$4:K$195,1),1,IF(Data!K186&lt;=MEDIAN(Data!K$4:K$195),2,IF(Data!K186&lt;=QUARTILE(Data!K$4:K$195,3),3,4)))</f>
        <v>1</v>
      </c>
      <c r="L186" s="22">
        <f>IF(Data!L186&lt;=QUARTILE(Data!L$4:L$195,1),1,IF(Data!L186&lt;=MEDIAN(Data!L$4:L$195),2,IF(Data!L186&lt;=QUARTILE(Data!L$4:L$195,3),3,4)))</f>
        <v>2</v>
      </c>
      <c r="M186" s="28">
        <f>IF(Data!M186&lt;=QUARTILE(Data!M$4:M$195,1),1,IF(Data!M186&lt;=MEDIAN(Data!M$4:M$195),2,IF(Data!M186&lt;=QUARTILE(Data!M$4:M$195,3),3,4)))</f>
        <v>3</v>
      </c>
      <c r="N186" s="28">
        <f>IF(Data!N186&lt;=QUARTILE(Data!N$4:N$195,1),1,IF(Data!N186&lt;=MEDIAN(Data!N$4:N$195),2,IF(Data!N186&lt;=QUARTILE(Data!N$4:N$195,3),3,4)))</f>
        <v>4</v>
      </c>
      <c r="O186" s="28">
        <f>IF(Data!O186&lt;=QUARTILE(Data!O$4:O$195,1),1,IF(Data!O186&lt;=MEDIAN(Data!O$4:O$195),2,IF(Data!O186&lt;=QUARTILE(Data!O$4:O$195,3),3,4)))</f>
        <v>4</v>
      </c>
      <c r="P186" s="28">
        <f>IF(Data!P186&lt;=QUARTILE(Data!P$4:P$195,1),1,IF(Data!P186&lt;=MEDIAN(Data!P$4:P$195),2,IF(Data!P186&lt;=QUARTILE(Data!P$4:P$195,3),3,4)))</f>
        <v>3</v>
      </c>
      <c r="Q186" s="28">
        <f>IF(Data!Q186&lt;=QUARTILE(Data!Q$4:Q$195,1),1,IF(Data!Q186&lt;=MEDIAN(Data!Q$4:Q$195),2,IF(Data!Q186&lt;=QUARTILE(Data!Q$4:Q$195,3),3,4)))</f>
        <v>3</v>
      </c>
      <c r="R186" s="28">
        <f>IF(Data!R186&lt;=QUARTILE(Data!R$4:R$195,1),1,IF(Data!R186&lt;=MEDIAN(Data!R$4:R$195),2,IF(Data!R186&lt;=QUARTILE(Data!R$4:R$195,3),3,4)))</f>
        <v>2</v>
      </c>
      <c r="S186" s="28">
        <f>IF(Data!S186&lt;=QUARTILE(Data!S$4:S$195,1),1,IF(Data!S186&lt;=MEDIAN(Data!S$4:S$195),2,IF(Data!S186&lt;=QUARTILE(Data!S$4:S$195,3),3,4)))</f>
        <v>2</v>
      </c>
      <c r="T186" s="22">
        <f>IF(Data!T186&lt;=QUARTILE(Data!T$4:T$195,1),1,IF(Data!T186&lt;=MEDIAN(Data!T$4:T$195),2,IF(Data!T186&lt;=QUARTILE(Data!T$4:T$195,3),3,4)))</f>
        <v>1</v>
      </c>
      <c r="U186" s="25">
        <f>IF(Data!U186&lt;=QUARTILE(Data!U$4:U$195,1),1,IF(Data!U186&lt;=MEDIAN(Data!U$4:U$195),2,IF(Data!U186&lt;=QUARTILE(Data!U$4:U$195,3),3,4)))</f>
        <v>1</v>
      </c>
      <c r="V186" s="28">
        <f>IF(Data!V186&lt;=QUARTILE(Data!V$4:V$195,1),1,IF(Data!V186&lt;=MEDIAN(Data!V$4:V$195),2,IF(Data!V186&lt;=QUARTILE(Data!V$4:V$195,3),3,4)))</f>
        <v>1</v>
      </c>
      <c r="W186" s="28">
        <f>IF(Data!W186&lt;=QUARTILE(Data!W$4:W$195,1),1,IF(Data!W186&lt;=MEDIAN(Data!W$4:W$195),2,IF(Data!W186&lt;=QUARTILE(Data!W$4:W$195,3),3,4)))</f>
        <v>2</v>
      </c>
      <c r="X186" s="22">
        <f>IF(Data!X186&lt;=QUARTILE(Data!X$4:X$195,1),1,IF(Data!X186&lt;=MEDIAN(Data!X$4:X$195),2,IF(Data!X186&lt;=QUARTILE(Data!X$4:X$195,3),3,4)))</f>
        <v>1</v>
      </c>
      <c r="Y186" s="33">
        <f>IF(Data!Y186&lt;=QUARTILE(Data!Y$4:Y$195,1),1,IF(Data!Y186&lt;=MEDIAN(Data!Y$4:Y$195),2,IF(Data!Y186&lt;=QUARTILE(Data!Y$4:Y$195,3),3,4)))</f>
        <v>4</v>
      </c>
      <c r="Z186" s="34">
        <f>IF(Data!Z186&lt;=QUARTILE(Data!Z$4:Z$195,1),1,IF(Data!Z186&lt;=MEDIAN(Data!Z$4:Z$195),2,IF(Data!Z186&lt;=QUARTILE(Data!Z$4:Z$195,3),3,4)))</f>
        <v>3</v>
      </c>
      <c r="AA186" s="25">
        <f>IF(Data!AA186&lt;=QUARTILE(Data!AA$4:AA$195,1),1,IF(Data!AA186&lt;=MEDIAN(Data!AA$4:AA$195),2,IF(Data!AA186&lt;=QUARTILE(Data!AA$4:AA$195,3),3,4)))</f>
        <v>1</v>
      </c>
      <c r="AB186" s="22">
        <f>IF(Data!AB186&lt;=QUARTILE(Data!AB$4:AB$195,1),1,IF(Data!AB186&lt;=MEDIAN(Data!AB$4:AB$195),2,IF(Data!AB186&lt;=QUARTILE(Data!AB$4:AB$195,3),3,4)))</f>
        <v>1</v>
      </c>
      <c r="AC186" s="25">
        <f>IF(Data!AC186&lt;=QUARTILE(Data!AC$4:AC$195,1),1,IF(Data!AC186&lt;=MEDIAN(Data!AC$4:AC$195),2,IF(Data!AC186&lt;=QUARTILE(Data!AC$4:AC$195,3),3,4)))</f>
        <v>4</v>
      </c>
      <c r="AD186" s="22">
        <f>IF(Data!AD186&lt;=QUARTILE(Data!AD$4:AD$195,1),1,IF(Data!AD186&lt;=MEDIAN(Data!AD$4:AD$195),2,IF(Data!AD186&lt;=QUARTILE(Data!AD$4:AD$195,3),3,4)))</f>
        <v>4</v>
      </c>
      <c r="AE186" s="28">
        <f>IF(Data!AE186&lt;=QUARTILE(Data!AE$4:AE$195,1),1,IF(Data!AE186&lt;=MEDIAN(Data!AE$4:AE$195),2,IF(Data!AE186&lt;=QUARTILE(Data!AE$4:AE$195,3),3,4)))</f>
        <v>2</v>
      </c>
      <c r="AF186" s="28">
        <f>IF(Data!AF186&lt;=QUARTILE(Data!AF$4:AF$195,1),1,IF(Data!AF186&lt;=MEDIAN(Data!AF$4:AF$195),2,IF(Data!AF186&lt;=QUARTILE(Data!AF$4:AF$195,3),3,4)))</f>
        <v>2</v>
      </c>
      <c r="AG186" s="28">
        <f>IF(Data!AG186&lt;=QUARTILE(Data!AG$4:AG$195,1),1,IF(Data!AG186&lt;=MEDIAN(Data!AG$4:AG$195),2,IF(Data!AG186&lt;=QUARTILE(Data!AG$4:AG$195,3),3,4)))</f>
        <v>3</v>
      </c>
      <c r="AH186" s="22">
        <f>IF(Data!AH186&lt;=QUARTILE(Data!AH$4:AH$195,1),1,IF(Data!AH186&lt;=MEDIAN(Data!AH$4:AH$195),2,IF(Data!AH186&lt;=QUARTILE(Data!AH$4:AH$195,3),3,4)))</f>
        <v>3</v>
      </c>
      <c r="AI186" s="25">
        <f>IF(Data!AI186&lt;=QUARTILE(Data!AI$4:AI$195,1),1,IF(Data!AI186&lt;=MEDIAN(Data!AI$4:AI$195),2,IF(Data!AI186&lt;=QUARTILE(Data!AI$4:AI$195,3),3,4)))</f>
        <v>2</v>
      </c>
      <c r="AJ186" s="22">
        <f>IF(Data!AJ186&lt;=QUARTILE(Data!AJ$4:AJ$195,1),1,IF(Data!AJ186&lt;=MEDIAN(Data!AJ$4:AJ$195),2,IF(Data!AJ186&lt;=QUARTILE(Data!AJ$4:AJ$195,3),3,4)))</f>
        <v>3</v>
      </c>
      <c r="AK186" s="25">
        <f>IF(Data!AK186&lt;=QUARTILE(Data!AK$4:AK$195,1),1,IF(Data!AK186&lt;=MEDIAN(Data!AK$4:AK$195),2,IF(Data!AK186&lt;=QUARTILE(Data!AK$4:AK$195,3),3,4)))</f>
        <v>4</v>
      </c>
      <c r="AL186" s="28">
        <f>IF(Data!AL186&lt;=QUARTILE(Data!AL$4:AL$195,1),1,IF(Data!AL186&lt;=MEDIAN(Data!AL$4:AL$195),2,IF(Data!AL186&lt;=QUARTILE(Data!AL$4:AL$195,3),3,4)))</f>
        <v>4</v>
      </c>
      <c r="AM186" s="28">
        <f>IF(Data!AM186&lt;=QUARTILE(Data!AM$4:AM$195,1),1,IF(Data!AM186&lt;=MEDIAN(Data!AM$4:AM$195),2,IF(Data!AM186&lt;=QUARTILE(Data!AM$4:AM$195,3),3,4)))</f>
        <v>4</v>
      </c>
      <c r="AN186" s="22">
        <f>IF(Data!AN186&lt;=QUARTILE(Data!AN$4:AN$195,1),1,IF(Data!AN186&lt;=MEDIAN(Data!AN$4:AN$195),2,IF(Data!AN186&lt;=QUARTILE(Data!AN$4:AN$195,3),3,4)))</f>
        <v>4</v>
      </c>
      <c r="AO186" s="28">
        <f>IF(Data!AO186&lt;=QUARTILE(Data!AO$4:AO$195,1),1,IF(Data!AO186&lt;=MEDIAN(Data!AO$4:AO$195),2,IF(Data!AO186&lt;=QUARTILE(Data!AO$4:AO$195,3),3,4)))</f>
        <v>3</v>
      </c>
      <c r="AP186" s="28">
        <f>IF(Data!AP186&lt;=QUARTILE(Data!AP$4:AP$195,1),1,IF(Data!AP186&lt;=MEDIAN(Data!AP$4:AP$195),2,IF(Data!AP186&lt;=QUARTILE(Data!AP$4:AP$195,3),3,4)))</f>
        <v>2</v>
      </c>
      <c r="AQ186" s="28">
        <f>IF(Data!AQ186&lt;=QUARTILE(Data!AQ$4:AQ$195,1),1,IF(Data!AQ186&lt;=MEDIAN(Data!AQ$4:AQ$195),2,IF(Data!AQ186&lt;=QUARTILE(Data!AQ$4:AQ$195,3),3,4)))</f>
        <v>4</v>
      </c>
      <c r="AR186" s="28">
        <f>IF(Data!AR186&lt;=QUARTILE(Data!AR$4:AR$195,1),1,IF(Data!AR186&lt;=MEDIAN(Data!AR$4:AR$195),2,IF(Data!AR186&lt;=QUARTILE(Data!AR$4:AR$195,3),3,4)))</f>
        <v>4</v>
      </c>
      <c r="AS186" s="28">
        <f>IF(Data!AS186&lt;=QUARTILE(Data!AS$4:AS$195,1),1,IF(Data!AS186&lt;=MEDIAN(Data!AS$4:AS$195),2,IF(Data!AS186&lt;=QUARTILE(Data!AS$4:AS$195,3),3,4)))</f>
        <v>4</v>
      </c>
      <c r="AT186" s="28">
        <f>IF(Data!AT186&lt;=QUARTILE(Data!AT$4:AT$195,1),1,IF(Data!AT186&lt;=MEDIAN(Data!AT$4:AT$195),2,IF(Data!AT186&lt;=QUARTILE(Data!AT$4:AT$195,3),3,4)))</f>
        <v>1</v>
      </c>
      <c r="AU186" s="22">
        <f>IF(Data!AU186&lt;=QUARTILE(Data!AU$4:AU$195,1),1,IF(Data!AU186&lt;=MEDIAN(Data!AU$4:AU$195),2,IF(Data!AU186&lt;=QUARTILE(Data!AU$4:AU$195,3),3,4)))</f>
        <v>1</v>
      </c>
      <c r="AV186" s="25">
        <f>IF(Data!AV186&lt;=QUARTILE(Data!AV$4:AV$195,1),1,IF(Data!AV186&lt;=MEDIAN(Data!AV$4:AV$195),2,IF(Data!AV186&lt;=QUARTILE(Data!AV$4:AV$195,3),3,4)))</f>
        <v>4</v>
      </c>
      <c r="AW186" s="28">
        <f>IF(Data!AW186&lt;=QUARTILE(Data!AW$4:AW$195,1),1,IF(Data!AW186&lt;=MEDIAN(Data!AW$4:AW$195),2,IF(Data!AW186&lt;=QUARTILE(Data!AW$4:AW$195,3),3,4)))</f>
        <v>3</v>
      </c>
      <c r="AX186" s="28">
        <f>IF(Data!AX186&lt;=QUARTILE(Data!AX$4:AX$195,1),1,IF(Data!AX186&lt;=MEDIAN(Data!AX$4:AX$195),2,IF(Data!AX186&lt;=QUARTILE(Data!AX$4:AX$195,3),3,4)))</f>
        <v>4</v>
      </c>
      <c r="AY186" s="22">
        <f>IF(Data!AY186&lt;=QUARTILE(Data!AY$4:AY$195,1),1,IF(Data!AY186&lt;=MEDIAN(Data!AY$4:AY$195),2,IF(Data!AY186&lt;=QUARTILE(Data!AY$4:AY$195,3),3,4)))</f>
        <v>4</v>
      </c>
      <c r="AZ186" s="25">
        <f>IF(Data!AZ186&lt;=QUARTILE(Data!AZ$4:AZ$195,1),1,IF(Data!AZ186&lt;=MEDIAN(Data!AZ$4:AZ$195),2,IF(Data!AZ186&lt;=QUARTILE(Data!AZ$4:AZ$195,3),3,4)))</f>
        <v>1</v>
      </c>
      <c r="BA186" s="22">
        <f>IF(Data!BA186&lt;=QUARTILE(Data!BA$4:BA$195,1),1,IF(Data!BA186&lt;=MEDIAN(Data!BA$4:BA$195),2,IF(Data!BA186&lt;=QUARTILE(Data!BA$4:BA$195,3),3,4)))</f>
        <v>1</v>
      </c>
    </row>
    <row r="187" spans="1:53" x14ac:dyDescent="0.25">
      <c r="A187" s="4" t="s">
        <v>20</v>
      </c>
      <c r="B187" s="40">
        <v>2004</v>
      </c>
      <c r="C187" s="25">
        <v>13</v>
      </c>
      <c r="D187" s="28">
        <v>3</v>
      </c>
      <c r="E187" s="77" t="s">
        <v>97</v>
      </c>
      <c r="F187" s="28">
        <v>5.6</v>
      </c>
      <c r="G187" s="28">
        <v>2</v>
      </c>
      <c r="H187" s="22">
        <v>3.5</v>
      </c>
      <c r="I187" s="25">
        <f>IF(Data!I187&lt;=QUARTILE(Data!I$4:I$195,1),1,IF(Data!I187&lt;=MEDIAN(Data!I$4:I$195),2,IF(Data!I187&lt;=QUARTILE(Data!I$4:I$195,3),3,4)))</f>
        <v>3</v>
      </c>
      <c r="J187" s="28">
        <f>IF(Data!J187&lt;=QUARTILE(Data!J$4:J$195,1),1,IF(Data!J187&lt;=MEDIAN(Data!J$4:J$195),2,IF(Data!J187&lt;=QUARTILE(Data!J$4:J$195,3),3,4)))</f>
        <v>3</v>
      </c>
      <c r="K187" s="28">
        <f>IF(Data!K187&lt;=QUARTILE(Data!K$4:K$195,1),1,IF(Data!K187&lt;=MEDIAN(Data!K$4:K$195),2,IF(Data!K187&lt;=QUARTILE(Data!K$4:K$195,3),3,4)))</f>
        <v>1</v>
      </c>
      <c r="L187" s="22">
        <f>IF(Data!L187&lt;=QUARTILE(Data!L$4:L$195,1),1,IF(Data!L187&lt;=MEDIAN(Data!L$4:L$195),2,IF(Data!L187&lt;=QUARTILE(Data!L$4:L$195,3),3,4)))</f>
        <v>3</v>
      </c>
      <c r="M187" s="28">
        <f>IF(Data!M187&lt;=QUARTILE(Data!M$4:M$195,1),1,IF(Data!M187&lt;=MEDIAN(Data!M$4:M$195),2,IF(Data!M187&lt;=QUARTILE(Data!M$4:M$195,3),3,4)))</f>
        <v>3</v>
      </c>
      <c r="N187" s="28">
        <f>IF(Data!N187&lt;=QUARTILE(Data!N$4:N$195,1),1,IF(Data!N187&lt;=MEDIAN(Data!N$4:N$195),2,IF(Data!N187&lt;=QUARTILE(Data!N$4:N$195,3),3,4)))</f>
        <v>3</v>
      </c>
      <c r="O187" s="28">
        <f>IF(Data!O187&lt;=QUARTILE(Data!O$4:O$195,1),1,IF(Data!O187&lt;=MEDIAN(Data!O$4:O$195),2,IF(Data!O187&lt;=QUARTILE(Data!O$4:O$195,3),3,4)))</f>
        <v>4</v>
      </c>
      <c r="P187" s="28">
        <f>IF(Data!P187&lt;=QUARTILE(Data!P$4:P$195,1),1,IF(Data!P187&lt;=MEDIAN(Data!P$4:P$195),2,IF(Data!P187&lt;=QUARTILE(Data!P$4:P$195,3),3,4)))</f>
        <v>4</v>
      </c>
      <c r="Q187" s="28">
        <f>IF(Data!Q187&lt;=QUARTILE(Data!Q$4:Q$195,1),1,IF(Data!Q187&lt;=MEDIAN(Data!Q$4:Q$195),2,IF(Data!Q187&lt;=QUARTILE(Data!Q$4:Q$195,3),3,4)))</f>
        <v>3</v>
      </c>
      <c r="R187" s="28">
        <f>IF(Data!R187&lt;=QUARTILE(Data!R$4:R$195,1),1,IF(Data!R187&lt;=MEDIAN(Data!R$4:R$195),2,IF(Data!R187&lt;=QUARTILE(Data!R$4:R$195,3),3,4)))</f>
        <v>4</v>
      </c>
      <c r="S187" s="28">
        <f>IF(Data!S187&lt;=QUARTILE(Data!S$4:S$195,1),1,IF(Data!S187&lt;=MEDIAN(Data!S$4:S$195),2,IF(Data!S187&lt;=QUARTILE(Data!S$4:S$195,3),3,4)))</f>
        <v>3</v>
      </c>
      <c r="T187" s="22">
        <f>IF(Data!T187&lt;=QUARTILE(Data!T$4:T$195,1),1,IF(Data!T187&lt;=MEDIAN(Data!T$4:T$195),2,IF(Data!T187&lt;=QUARTILE(Data!T$4:T$195,3),3,4)))</f>
        <v>3</v>
      </c>
      <c r="U187" s="25">
        <f>IF(Data!U187&lt;=QUARTILE(Data!U$4:U$195,1),1,IF(Data!U187&lt;=MEDIAN(Data!U$4:U$195),2,IF(Data!U187&lt;=QUARTILE(Data!U$4:U$195,3),3,4)))</f>
        <v>1</v>
      </c>
      <c r="V187" s="28">
        <f>IF(Data!V187&lt;=QUARTILE(Data!V$4:V$195,1),1,IF(Data!V187&lt;=MEDIAN(Data!V$4:V$195),2,IF(Data!V187&lt;=QUARTILE(Data!V$4:V$195,3),3,4)))</f>
        <v>2</v>
      </c>
      <c r="W187" s="28">
        <f>IF(Data!W187&lt;=QUARTILE(Data!W$4:W$195,1),1,IF(Data!W187&lt;=MEDIAN(Data!W$4:W$195),2,IF(Data!W187&lt;=QUARTILE(Data!W$4:W$195,3),3,4)))</f>
        <v>2</v>
      </c>
      <c r="X187" s="22">
        <f>IF(Data!X187&lt;=QUARTILE(Data!X$4:X$195,1),1,IF(Data!X187&lt;=MEDIAN(Data!X$4:X$195),2,IF(Data!X187&lt;=QUARTILE(Data!X$4:X$195,3),3,4)))</f>
        <v>2</v>
      </c>
      <c r="Y187" s="33">
        <f>IF(Data!Y187&lt;=QUARTILE(Data!Y$4:Y$195,1),1,IF(Data!Y187&lt;=MEDIAN(Data!Y$4:Y$195),2,IF(Data!Y187&lt;=QUARTILE(Data!Y$4:Y$195,3),3,4)))</f>
        <v>1</v>
      </c>
      <c r="Z187" s="34">
        <f>IF(Data!Z187&lt;=QUARTILE(Data!Z$4:Z$195,1),1,IF(Data!Z187&lt;=MEDIAN(Data!Z$4:Z$195),2,IF(Data!Z187&lt;=QUARTILE(Data!Z$4:Z$195,3),3,4)))</f>
        <v>2</v>
      </c>
      <c r="AA187" s="25">
        <f>IF(Data!AA187&lt;=QUARTILE(Data!AA$4:AA$195,1),1,IF(Data!AA187&lt;=MEDIAN(Data!AA$4:AA$195),2,IF(Data!AA187&lt;=QUARTILE(Data!AA$4:AA$195,3),3,4)))</f>
        <v>3</v>
      </c>
      <c r="AB187" s="22">
        <f>IF(Data!AB187&lt;=QUARTILE(Data!AB$4:AB$195,1),1,IF(Data!AB187&lt;=MEDIAN(Data!AB$4:AB$195),2,IF(Data!AB187&lt;=QUARTILE(Data!AB$4:AB$195,3),3,4)))</f>
        <v>3</v>
      </c>
      <c r="AC187" s="25">
        <f>IF(Data!AC187&lt;=QUARTILE(Data!AC$4:AC$195,1),1,IF(Data!AC187&lt;=MEDIAN(Data!AC$4:AC$195),2,IF(Data!AC187&lt;=QUARTILE(Data!AC$4:AC$195,3),3,4)))</f>
        <v>1</v>
      </c>
      <c r="AD187" s="22">
        <f>IF(Data!AD187&lt;=QUARTILE(Data!AD$4:AD$195,1),1,IF(Data!AD187&lt;=MEDIAN(Data!AD$4:AD$195),2,IF(Data!AD187&lt;=QUARTILE(Data!AD$4:AD$195,3),3,4)))</f>
        <v>1</v>
      </c>
      <c r="AE187" s="28">
        <f>IF(Data!AE187&lt;=QUARTILE(Data!AE$4:AE$195,1),1,IF(Data!AE187&lt;=MEDIAN(Data!AE$4:AE$195),2,IF(Data!AE187&lt;=QUARTILE(Data!AE$4:AE$195,3),3,4)))</f>
        <v>1</v>
      </c>
      <c r="AF187" s="28">
        <f>IF(Data!AF187&lt;=QUARTILE(Data!AF$4:AF$195,1),1,IF(Data!AF187&lt;=MEDIAN(Data!AF$4:AF$195),2,IF(Data!AF187&lt;=QUARTILE(Data!AF$4:AF$195,3),3,4)))</f>
        <v>1</v>
      </c>
      <c r="AG187" s="28">
        <f>IF(Data!AG187&lt;=QUARTILE(Data!AG$4:AG$195,1),1,IF(Data!AG187&lt;=MEDIAN(Data!AG$4:AG$195),2,IF(Data!AG187&lt;=QUARTILE(Data!AG$4:AG$195,3),3,4)))</f>
        <v>4</v>
      </c>
      <c r="AH187" s="22">
        <f>IF(Data!AH187&lt;=QUARTILE(Data!AH$4:AH$195,1),1,IF(Data!AH187&lt;=MEDIAN(Data!AH$4:AH$195),2,IF(Data!AH187&lt;=QUARTILE(Data!AH$4:AH$195,3),3,4)))</f>
        <v>4</v>
      </c>
      <c r="AI187" s="25">
        <f>IF(Data!AI187&lt;=QUARTILE(Data!AI$4:AI$195,1),1,IF(Data!AI187&lt;=MEDIAN(Data!AI$4:AI$195),2,IF(Data!AI187&lt;=QUARTILE(Data!AI$4:AI$195,3),3,4)))</f>
        <v>2</v>
      </c>
      <c r="AJ187" s="22">
        <f>IF(Data!AJ187&lt;=QUARTILE(Data!AJ$4:AJ$195,1),1,IF(Data!AJ187&lt;=MEDIAN(Data!AJ$4:AJ$195),2,IF(Data!AJ187&lt;=QUARTILE(Data!AJ$4:AJ$195,3),3,4)))</f>
        <v>2</v>
      </c>
      <c r="AK187" s="25">
        <f>IF(Data!AK187&lt;=QUARTILE(Data!AK$4:AK$195,1),1,IF(Data!AK187&lt;=MEDIAN(Data!AK$4:AK$195),2,IF(Data!AK187&lt;=QUARTILE(Data!AK$4:AK$195,3),3,4)))</f>
        <v>1</v>
      </c>
      <c r="AL187" s="28">
        <f>IF(Data!AL187&lt;=QUARTILE(Data!AL$4:AL$195,1),1,IF(Data!AL187&lt;=MEDIAN(Data!AL$4:AL$195),2,IF(Data!AL187&lt;=QUARTILE(Data!AL$4:AL$195,3),3,4)))</f>
        <v>2</v>
      </c>
      <c r="AM187" s="28">
        <f>IF(Data!AM187&lt;=QUARTILE(Data!AM$4:AM$195,1),1,IF(Data!AM187&lt;=MEDIAN(Data!AM$4:AM$195),2,IF(Data!AM187&lt;=QUARTILE(Data!AM$4:AM$195,3),3,4)))</f>
        <v>4</v>
      </c>
      <c r="AN187" s="22">
        <f>IF(Data!AN187&lt;=QUARTILE(Data!AN$4:AN$195,1),1,IF(Data!AN187&lt;=MEDIAN(Data!AN$4:AN$195),2,IF(Data!AN187&lt;=QUARTILE(Data!AN$4:AN$195,3),3,4)))</f>
        <v>3</v>
      </c>
      <c r="AO187" s="28">
        <f>IF(Data!AO187&lt;=QUARTILE(Data!AO$4:AO$195,1),1,IF(Data!AO187&lt;=MEDIAN(Data!AO$4:AO$195),2,IF(Data!AO187&lt;=QUARTILE(Data!AO$4:AO$195,3),3,4)))</f>
        <v>4</v>
      </c>
      <c r="AP187" s="28">
        <f>IF(Data!AP187&lt;=QUARTILE(Data!AP$4:AP$195,1),1,IF(Data!AP187&lt;=MEDIAN(Data!AP$4:AP$195),2,IF(Data!AP187&lt;=QUARTILE(Data!AP$4:AP$195,3),3,4)))</f>
        <v>4</v>
      </c>
      <c r="AQ187" s="28">
        <f>IF(Data!AQ187&lt;=QUARTILE(Data!AQ$4:AQ$195,1),1,IF(Data!AQ187&lt;=MEDIAN(Data!AQ$4:AQ$195),2,IF(Data!AQ187&lt;=QUARTILE(Data!AQ$4:AQ$195,3),3,4)))</f>
        <v>2</v>
      </c>
      <c r="AR187" s="28">
        <f>IF(Data!AR187&lt;=QUARTILE(Data!AR$4:AR$195,1),1,IF(Data!AR187&lt;=MEDIAN(Data!AR$4:AR$195),2,IF(Data!AR187&lt;=QUARTILE(Data!AR$4:AR$195,3),3,4)))</f>
        <v>1</v>
      </c>
      <c r="AS187" s="28">
        <f>IF(Data!AS187&lt;=QUARTILE(Data!AS$4:AS$195,1),1,IF(Data!AS187&lt;=MEDIAN(Data!AS$4:AS$195),2,IF(Data!AS187&lt;=QUARTILE(Data!AS$4:AS$195,3),3,4)))</f>
        <v>2</v>
      </c>
      <c r="AT187" s="28">
        <f>IF(Data!AT187&lt;=QUARTILE(Data!AT$4:AT$195,1),1,IF(Data!AT187&lt;=MEDIAN(Data!AT$4:AT$195),2,IF(Data!AT187&lt;=QUARTILE(Data!AT$4:AT$195,3),3,4)))</f>
        <v>4</v>
      </c>
      <c r="AU187" s="22">
        <f>IF(Data!AU187&lt;=QUARTILE(Data!AU$4:AU$195,1),1,IF(Data!AU187&lt;=MEDIAN(Data!AU$4:AU$195),2,IF(Data!AU187&lt;=QUARTILE(Data!AU$4:AU$195,3),3,4)))</f>
        <v>4</v>
      </c>
      <c r="AV187" s="25">
        <f>IF(Data!AV187&lt;=QUARTILE(Data!AV$4:AV$195,1),1,IF(Data!AV187&lt;=MEDIAN(Data!AV$4:AV$195),2,IF(Data!AV187&lt;=QUARTILE(Data!AV$4:AV$195,3),3,4)))</f>
        <v>2</v>
      </c>
      <c r="AW187" s="28">
        <f>IF(Data!AW187&lt;=QUARTILE(Data!AW$4:AW$195,1),1,IF(Data!AW187&lt;=MEDIAN(Data!AW$4:AW$195),2,IF(Data!AW187&lt;=QUARTILE(Data!AW$4:AW$195,3),3,4)))</f>
        <v>3</v>
      </c>
      <c r="AX187" s="28">
        <f>IF(Data!AX187&lt;=QUARTILE(Data!AX$4:AX$195,1),1,IF(Data!AX187&lt;=MEDIAN(Data!AX$4:AX$195),2,IF(Data!AX187&lt;=QUARTILE(Data!AX$4:AX$195,3),3,4)))</f>
        <v>2</v>
      </c>
      <c r="AY187" s="22">
        <f>IF(Data!AY187&lt;=QUARTILE(Data!AY$4:AY$195,1),1,IF(Data!AY187&lt;=MEDIAN(Data!AY$4:AY$195),2,IF(Data!AY187&lt;=QUARTILE(Data!AY$4:AY$195,3),3,4)))</f>
        <v>3</v>
      </c>
      <c r="AZ187" s="25">
        <f>IF(Data!AZ187&lt;=QUARTILE(Data!AZ$4:AZ$195,1),1,IF(Data!AZ187&lt;=MEDIAN(Data!AZ$4:AZ$195),2,IF(Data!AZ187&lt;=QUARTILE(Data!AZ$4:AZ$195,3),3,4)))</f>
        <v>3</v>
      </c>
      <c r="BA187" s="22">
        <f>IF(Data!BA187&lt;=QUARTILE(Data!BA$4:BA$195,1),1,IF(Data!BA187&lt;=MEDIAN(Data!BA$4:BA$195),2,IF(Data!BA187&lt;=QUARTILE(Data!BA$4:BA$195,3),3,4)))</f>
        <v>2</v>
      </c>
    </row>
    <row r="188" spans="1:53" x14ac:dyDescent="0.25">
      <c r="A188" s="4" t="s">
        <v>9</v>
      </c>
      <c r="B188" s="40">
        <v>2004</v>
      </c>
      <c r="C188" s="25">
        <v>15</v>
      </c>
      <c r="D188" s="28">
        <v>1</v>
      </c>
      <c r="E188" s="77" t="s">
        <v>97</v>
      </c>
      <c r="F188" s="28">
        <v>9</v>
      </c>
      <c r="G188" s="28">
        <v>3.4</v>
      </c>
      <c r="H188" s="22">
        <v>5.6</v>
      </c>
      <c r="I188" s="25">
        <f>IF(Data!I188&lt;=QUARTILE(Data!I$4:I$195,1),1,IF(Data!I188&lt;=MEDIAN(Data!I$4:I$195),2,IF(Data!I188&lt;=QUARTILE(Data!I$4:I$195,3),3,4)))</f>
        <v>3</v>
      </c>
      <c r="J188" s="28">
        <f>IF(Data!J188&lt;=QUARTILE(Data!J$4:J$195,1),1,IF(Data!J188&lt;=MEDIAN(Data!J$4:J$195),2,IF(Data!J188&lt;=QUARTILE(Data!J$4:J$195,3),3,4)))</f>
        <v>2</v>
      </c>
      <c r="K188" s="28">
        <f>IF(Data!K188&lt;=QUARTILE(Data!K$4:K$195,1),1,IF(Data!K188&lt;=MEDIAN(Data!K$4:K$195),2,IF(Data!K188&lt;=QUARTILE(Data!K$4:K$195,3),3,4)))</f>
        <v>3</v>
      </c>
      <c r="L188" s="22">
        <f>IF(Data!L188&lt;=QUARTILE(Data!L$4:L$195,1),1,IF(Data!L188&lt;=MEDIAN(Data!L$4:L$195),2,IF(Data!L188&lt;=QUARTILE(Data!L$4:L$195,3),3,4)))</f>
        <v>3</v>
      </c>
      <c r="M188" s="28">
        <f>IF(Data!M188&lt;=QUARTILE(Data!M$4:M$195,1),1,IF(Data!M188&lt;=MEDIAN(Data!M$4:M$195),2,IF(Data!M188&lt;=QUARTILE(Data!M$4:M$195,3),3,4)))</f>
        <v>1</v>
      </c>
      <c r="N188" s="28">
        <f>IF(Data!N188&lt;=QUARTILE(Data!N$4:N$195,1),1,IF(Data!N188&lt;=MEDIAN(Data!N$4:N$195),2,IF(Data!N188&lt;=QUARTILE(Data!N$4:N$195,3),3,4)))</f>
        <v>1</v>
      </c>
      <c r="O188" s="28">
        <f>IF(Data!O188&lt;=QUARTILE(Data!O$4:O$195,1),1,IF(Data!O188&lt;=MEDIAN(Data!O$4:O$195),2,IF(Data!O188&lt;=QUARTILE(Data!O$4:O$195,3),3,4)))</f>
        <v>1</v>
      </c>
      <c r="P188" s="28">
        <f>IF(Data!P188&lt;=QUARTILE(Data!P$4:P$195,1),1,IF(Data!P188&lt;=MEDIAN(Data!P$4:P$195),2,IF(Data!P188&lt;=QUARTILE(Data!P$4:P$195,3),3,4)))</f>
        <v>2</v>
      </c>
      <c r="Q188" s="28">
        <f>IF(Data!Q188&lt;=QUARTILE(Data!Q$4:Q$195,1),1,IF(Data!Q188&lt;=MEDIAN(Data!Q$4:Q$195),2,IF(Data!Q188&lt;=QUARTILE(Data!Q$4:Q$195,3),3,4)))</f>
        <v>1</v>
      </c>
      <c r="R188" s="28">
        <f>IF(Data!R188&lt;=QUARTILE(Data!R$4:R$195,1),1,IF(Data!R188&lt;=MEDIAN(Data!R$4:R$195),2,IF(Data!R188&lt;=QUARTILE(Data!R$4:R$195,3),3,4)))</f>
        <v>4</v>
      </c>
      <c r="S188" s="28">
        <f>IF(Data!S188&lt;=QUARTILE(Data!S$4:S$195,1),1,IF(Data!S188&lt;=MEDIAN(Data!S$4:S$195),2,IF(Data!S188&lt;=QUARTILE(Data!S$4:S$195,3),3,4)))</f>
        <v>3</v>
      </c>
      <c r="T188" s="22">
        <f>IF(Data!T188&lt;=QUARTILE(Data!T$4:T$195,1),1,IF(Data!T188&lt;=MEDIAN(Data!T$4:T$195),2,IF(Data!T188&lt;=QUARTILE(Data!T$4:T$195,3),3,4)))</f>
        <v>3</v>
      </c>
      <c r="U188" s="25">
        <f>IF(Data!U188&lt;=QUARTILE(Data!U$4:U$195,1),1,IF(Data!U188&lt;=MEDIAN(Data!U$4:U$195),2,IF(Data!U188&lt;=QUARTILE(Data!U$4:U$195,3),3,4)))</f>
        <v>4</v>
      </c>
      <c r="V188" s="28">
        <f>IF(Data!V188&lt;=QUARTILE(Data!V$4:V$195,1),1,IF(Data!V188&lt;=MEDIAN(Data!V$4:V$195),2,IF(Data!V188&lt;=QUARTILE(Data!V$4:V$195,3),3,4)))</f>
        <v>4</v>
      </c>
      <c r="W188" s="28">
        <f>IF(Data!W188&lt;=QUARTILE(Data!W$4:W$195,1),1,IF(Data!W188&lt;=MEDIAN(Data!W$4:W$195),2,IF(Data!W188&lt;=QUARTILE(Data!W$4:W$195,3),3,4)))</f>
        <v>3</v>
      </c>
      <c r="X188" s="22">
        <f>IF(Data!X188&lt;=QUARTILE(Data!X$4:X$195,1),1,IF(Data!X188&lt;=MEDIAN(Data!X$4:X$195),2,IF(Data!X188&lt;=QUARTILE(Data!X$4:X$195,3),3,4)))</f>
        <v>4</v>
      </c>
      <c r="Y188" s="33">
        <f>IF(Data!Y188&lt;=QUARTILE(Data!Y$4:Y$195,1),1,IF(Data!Y188&lt;=MEDIAN(Data!Y$4:Y$195),2,IF(Data!Y188&lt;=QUARTILE(Data!Y$4:Y$195,3),3,4)))</f>
        <v>1</v>
      </c>
      <c r="Z188" s="34">
        <f>IF(Data!Z188&lt;=QUARTILE(Data!Z$4:Z$195,1),1,IF(Data!Z188&lt;=MEDIAN(Data!Z$4:Z$195),2,IF(Data!Z188&lt;=QUARTILE(Data!Z$4:Z$195,3),3,4)))</f>
        <v>1</v>
      </c>
      <c r="AA188" s="25">
        <f>IF(Data!AA188&lt;=QUARTILE(Data!AA$4:AA$195,1),1,IF(Data!AA188&lt;=MEDIAN(Data!AA$4:AA$195),2,IF(Data!AA188&lt;=QUARTILE(Data!AA$4:AA$195,3),3,4)))</f>
        <v>4</v>
      </c>
      <c r="AB188" s="22">
        <f>IF(Data!AB188&lt;=QUARTILE(Data!AB$4:AB$195,1),1,IF(Data!AB188&lt;=MEDIAN(Data!AB$4:AB$195),2,IF(Data!AB188&lt;=QUARTILE(Data!AB$4:AB$195,3),3,4)))</f>
        <v>3</v>
      </c>
      <c r="AC188" s="25">
        <f>IF(Data!AC188&lt;=QUARTILE(Data!AC$4:AC$195,1),1,IF(Data!AC188&lt;=MEDIAN(Data!AC$4:AC$195),2,IF(Data!AC188&lt;=QUARTILE(Data!AC$4:AC$195,3),3,4)))</f>
        <v>2</v>
      </c>
      <c r="AD188" s="22">
        <f>IF(Data!AD188&lt;=QUARTILE(Data!AD$4:AD$195,1),1,IF(Data!AD188&lt;=MEDIAN(Data!AD$4:AD$195),2,IF(Data!AD188&lt;=QUARTILE(Data!AD$4:AD$195,3),3,4)))</f>
        <v>2</v>
      </c>
      <c r="AE188" s="28">
        <f>IF(Data!AE188&lt;=QUARTILE(Data!AE$4:AE$195,1),1,IF(Data!AE188&lt;=MEDIAN(Data!AE$4:AE$195),2,IF(Data!AE188&lt;=QUARTILE(Data!AE$4:AE$195,3),3,4)))</f>
        <v>4</v>
      </c>
      <c r="AF188" s="28">
        <f>IF(Data!AF188&lt;=QUARTILE(Data!AF$4:AF$195,1),1,IF(Data!AF188&lt;=MEDIAN(Data!AF$4:AF$195),2,IF(Data!AF188&lt;=QUARTILE(Data!AF$4:AF$195,3),3,4)))</f>
        <v>4</v>
      </c>
      <c r="AG188" s="28">
        <f>IF(Data!AG188&lt;=QUARTILE(Data!AG$4:AG$195,1),1,IF(Data!AG188&lt;=MEDIAN(Data!AG$4:AG$195),2,IF(Data!AG188&lt;=QUARTILE(Data!AG$4:AG$195,3),3,4)))</f>
        <v>2</v>
      </c>
      <c r="AH188" s="22">
        <f>IF(Data!AH188&lt;=QUARTILE(Data!AH$4:AH$195,1),1,IF(Data!AH188&lt;=MEDIAN(Data!AH$4:AH$195),2,IF(Data!AH188&lt;=QUARTILE(Data!AH$4:AH$195,3),3,4)))</f>
        <v>2</v>
      </c>
      <c r="AI188" s="25">
        <f>IF(Data!AI188&lt;=QUARTILE(Data!AI$4:AI$195,1),1,IF(Data!AI188&lt;=MEDIAN(Data!AI$4:AI$195),2,IF(Data!AI188&lt;=QUARTILE(Data!AI$4:AI$195,3),3,4)))</f>
        <v>1</v>
      </c>
      <c r="AJ188" s="22">
        <f>IF(Data!AJ188&lt;=QUARTILE(Data!AJ$4:AJ$195,1),1,IF(Data!AJ188&lt;=MEDIAN(Data!AJ$4:AJ$195),2,IF(Data!AJ188&lt;=QUARTILE(Data!AJ$4:AJ$195,3),3,4)))</f>
        <v>2</v>
      </c>
      <c r="AK188" s="25">
        <f>IF(Data!AK188&lt;=QUARTILE(Data!AK$4:AK$195,1),1,IF(Data!AK188&lt;=MEDIAN(Data!AK$4:AK$195),2,IF(Data!AK188&lt;=QUARTILE(Data!AK$4:AK$195,3),3,4)))</f>
        <v>1</v>
      </c>
      <c r="AL188" s="28">
        <f>IF(Data!AL188&lt;=QUARTILE(Data!AL$4:AL$195,1),1,IF(Data!AL188&lt;=MEDIAN(Data!AL$4:AL$195),2,IF(Data!AL188&lt;=QUARTILE(Data!AL$4:AL$195,3),3,4)))</f>
        <v>1</v>
      </c>
      <c r="AM188" s="28">
        <f>IF(Data!AM188&lt;=QUARTILE(Data!AM$4:AM$195,1),1,IF(Data!AM188&lt;=MEDIAN(Data!AM$4:AM$195),2,IF(Data!AM188&lt;=QUARTILE(Data!AM$4:AM$195,3),3,4)))</f>
        <v>1</v>
      </c>
      <c r="AN188" s="22">
        <f>IF(Data!AN188&lt;=QUARTILE(Data!AN$4:AN$195,1),1,IF(Data!AN188&lt;=MEDIAN(Data!AN$4:AN$195),2,IF(Data!AN188&lt;=QUARTILE(Data!AN$4:AN$195,3),3,4)))</f>
        <v>1</v>
      </c>
      <c r="AO188" s="28">
        <f>IF(Data!AO188&lt;=QUARTILE(Data!AO$4:AO$195,1),1,IF(Data!AO188&lt;=MEDIAN(Data!AO$4:AO$195),2,IF(Data!AO188&lt;=QUARTILE(Data!AO$4:AO$195,3),3,4)))</f>
        <v>1</v>
      </c>
      <c r="AP188" s="28">
        <f>IF(Data!AP188&lt;=QUARTILE(Data!AP$4:AP$195,1),1,IF(Data!AP188&lt;=MEDIAN(Data!AP$4:AP$195),2,IF(Data!AP188&lt;=QUARTILE(Data!AP$4:AP$195,3),3,4)))</f>
        <v>1</v>
      </c>
      <c r="AQ188" s="28">
        <f>IF(Data!AQ188&lt;=QUARTILE(Data!AQ$4:AQ$195,1),1,IF(Data!AQ188&lt;=MEDIAN(Data!AQ$4:AQ$195),2,IF(Data!AQ188&lt;=QUARTILE(Data!AQ$4:AQ$195,3),3,4)))</f>
        <v>1</v>
      </c>
      <c r="AR188" s="28">
        <f>IF(Data!AR188&lt;=QUARTILE(Data!AR$4:AR$195,1),1,IF(Data!AR188&lt;=MEDIAN(Data!AR$4:AR$195),2,IF(Data!AR188&lt;=QUARTILE(Data!AR$4:AR$195,3),3,4)))</f>
        <v>1</v>
      </c>
      <c r="AS188" s="28">
        <f>IF(Data!AS188&lt;=QUARTILE(Data!AS$4:AS$195,1),1,IF(Data!AS188&lt;=MEDIAN(Data!AS$4:AS$195),2,IF(Data!AS188&lt;=QUARTILE(Data!AS$4:AS$195,3),3,4)))</f>
        <v>1</v>
      </c>
      <c r="AT188" s="28">
        <f>IF(Data!AT188&lt;=QUARTILE(Data!AT$4:AT$195,1),1,IF(Data!AT188&lt;=MEDIAN(Data!AT$4:AT$195),2,IF(Data!AT188&lt;=QUARTILE(Data!AT$4:AT$195,3),3,4)))</f>
        <v>4</v>
      </c>
      <c r="AU188" s="22">
        <f>IF(Data!AU188&lt;=QUARTILE(Data!AU$4:AU$195,1),1,IF(Data!AU188&lt;=MEDIAN(Data!AU$4:AU$195),2,IF(Data!AU188&lt;=QUARTILE(Data!AU$4:AU$195,3),3,4)))</f>
        <v>3</v>
      </c>
      <c r="AV188" s="25">
        <f>IF(Data!AV188&lt;=QUARTILE(Data!AV$4:AV$195,1),1,IF(Data!AV188&lt;=MEDIAN(Data!AV$4:AV$195),2,IF(Data!AV188&lt;=QUARTILE(Data!AV$4:AV$195,3),3,4)))</f>
        <v>1</v>
      </c>
      <c r="AW188" s="28">
        <f>IF(Data!AW188&lt;=QUARTILE(Data!AW$4:AW$195,1),1,IF(Data!AW188&lt;=MEDIAN(Data!AW$4:AW$195),2,IF(Data!AW188&lt;=QUARTILE(Data!AW$4:AW$195,3),3,4)))</f>
        <v>1</v>
      </c>
      <c r="AX188" s="28">
        <f>IF(Data!AX188&lt;=QUARTILE(Data!AX$4:AX$195,1),1,IF(Data!AX188&lt;=MEDIAN(Data!AX$4:AX$195),2,IF(Data!AX188&lt;=QUARTILE(Data!AX$4:AX$195,3),3,4)))</f>
        <v>1</v>
      </c>
      <c r="AY188" s="22">
        <f>IF(Data!AY188&lt;=QUARTILE(Data!AY$4:AY$195,1),1,IF(Data!AY188&lt;=MEDIAN(Data!AY$4:AY$195),2,IF(Data!AY188&lt;=QUARTILE(Data!AY$4:AY$195,3),3,4)))</f>
        <v>1</v>
      </c>
      <c r="AZ188" s="25">
        <f>IF(Data!AZ188&lt;=QUARTILE(Data!AZ$4:AZ$195,1),1,IF(Data!AZ188&lt;=MEDIAN(Data!AZ$4:AZ$195),2,IF(Data!AZ188&lt;=QUARTILE(Data!AZ$4:AZ$195,3),3,4)))</f>
        <v>3</v>
      </c>
      <c r="BA188" s="22">
        <f>IF(Data!BA188&lt;=QUARTILE(Data!BA$4:BA$195,1),1,IF(Data!BA188&lt;=MEDIAN(Data!BA$4:BA$195),2,IF(Data!BA188&lt;=QUARTILE(Data!BA$4:BA$195,3),3,4)))</f>
        <v>3</v>
      </c>
    </row>
    <row r="189" spans="1:53" x14ac:dyDescent="0.25">
      <c r="A189" s="4" t="s">
        <v>15</v>
      </c>
      <c r="B189" s="40">
        <v>2004</v>
      </c>
      <c r="C189" s="25">
        <v>12</v>
      </c>
      <c r="D189" s="28">
        <v>4</v>
      </c>
      <c r="E189" s="77" t="s">
        <v>97</v>
      </c>
      <c r="F189" s="28">
        <v>9.1</v>
      </c>
      <c r="G189" s="28">
        <v>6.1</v>
      </c>
      <c r="H189" s="22">
        <v>3</v>
      </c>
      <c r="I189" s="25">
        <f>IF(Data!I189&lt;=QUARTILE(Data!I$4:I$195,1),1,IF(Data!I189&lt;=MEDIAN(Data!I$4:I$195),2,IF(Data!I189&lt;=QUARTILE(Data!I$4:I$195,3),3,4)))</f>
        <v>4</v>
      </c>
      <c r="J189" s="28">
        <f>IF(Data!J189&lt;=QUARTILE(Data!J$4:J$195,1),1,IF(Data!J189&lt;=MEDIAN(Data!J$4:J$195),2,IF(Data!J189&lt;=QUARTILE(Data!J$4:J$195,3),3,4)))</f>
        <v>3</v>
      </c>
      <c r="K189" s="28">
        <f>IF(Data!K189&lt;=QUARTILE(Data!K$4:K$195,1),1,IF(Data!K189&lt;=MEDIAN(Data!K$4:K$195),2,IF(Data!K189&lt;=QUARTILE(Data!K$4:K$195,3),3,4)))</f>
        <v>2</v>
      </c>
      <c r="L189" s="22">
        <f>IF(Data!L189&lt;=QUARTILE(Data!L$4:L$195,1),1,IF(Data!L189&lt;=MEDIAN(Data!L$4:L$195),2,IF(Data!L189&lt;=QUARTILE(Data!L$4:L$195,3),3,4)))</f>
        <v>4</v>
      </c>
      <c r="M189" s="28">
        <f>IF(Data!M189&lt;=QUARTILE(Data!M$4:M$195,1),1,IF(Data!M189&lt;=MEDIAN(Data!M$4:M$195),2,IF(Data!M189&lt;=QUARTILE(Data!M$4:M$195,3),3,4)))</f>
        <v>2</v>
      </c>
      <c r="N189" s="28">
        <f>IF(Data!N189&lt;=QUARTILE(Data!N$4:N$195,1),1,IF(Data!N189&lt;=MEDIAN(Data!N$4:N$195),2,IF(Data!N189&lt;=QUARTILE(Data!N$4:N$195,3),3,4)))</f>
        <v>1</v>
      </c>
      <c r="O189" s="28">
        <f>IF(Data!O189&lt;=QUARTILE(Data!O$4:O$195,1),1,IF(Data!O189&lt;=MEDIAN(Data!O$4:O$195),2,IF(Data!O189&lt;=QUARTILE(Data!O$4:O$195,3),3,4)))</f>
        <v>3</v>
      </c>
      <c r="P189" s="28">
        <f>IF(Data!P189&lt;=QUARTILE(Data!P$4:P$195,1),1,IF(Data!P189&lt;=MEDIAN(Data!P$4:P$195),2,IF(Data!P189&lt;=QUARTILE(Data!P$4:P$195,3),3,4)))</f>
        <v>4</v>
      </c>
      <c r="Q189" s="28">
        <f>IF(Data!Q189&lt;=QUARTILE(Data!Q$4:Q$195,1),1,IF(Data!Q189&lt;=MEDIAN(Data!Q$4:Q$195),2,IF(Data!Q189&lt;=QUARTILE(Data!Q$4:Q$195,3),3,4)))</f>
        <v>2</v>
      </c>
      <c r="R189" s="28">
        <f>IF(Data!R189&lt;=QUARTILE(Data!R$4:R$195,1),1,IF(Data!R189&lt;=MEDIAN(Data!R$4:R$195),2,IF(Data!R189&lt;=QUARTILE(Data!R$4:R$195,3),3,4)))</f>
        <v>4</v>
      </c>
      <c r="S189" s="28">
        <f>IF(Data!S189&lt;=QUARTILE(Data!S$4:S$195,1),1,IF(Data!S189&lt;=MEDIAN(Data!S$4:S$195),2,IF(Data!S189&lt;=QUARTILE(Data!S$4:S$195,3),3,4)))</f>
        <v>1</v>
      </c>
      <c r="T189" s="22">
        <f>IF(Data!T189&lt;=QUARTILE(Data!T$4:T$195,1),1,IF(Data!T189&lt;=MEDIAN(Data!T$4:T$195),2,IF(Data!T189&lt;=QUARTILE(Data!T$4:T$195,3),3,4)))</f>
        <v>1</v>
      </c>
      <c r="U189" s="25">
        <f>IF(Data!U189&lt;=QUARTILE(Data!U$4:U$195,1),1,IF(Data!U189&lt;=MEDIAN(Data!U$4:U$195),2,IF(Data!U189&lt;=QUARTILE(Data!U$4:U$195,3),3,4)))</f>
        <v>4</v>
      </c>
      <c r="V189" s="28">
        <f>IF(Data!V189&lt;=QUARTILE(Data!V$4:V$195,1),1,IF(Data!V189&lt;=MEDIAN(Data!V$4:V$195),2,IF(Data!V189&lt;=QUARTILE(Data!V$4:V$195,3),3,4)))</f>
        <v>4</v>
      </c>
      <c r="W189" s="28">
        <f>IF(Data!W189&lt;=QUARTILE(Data!W$4:W$195,1),1,IF(Data!W189&lt;=MEDIAN(Data!W$4:W$195),2,IF(Data!W189&lt;=QUARTILE(Data!W$4:W$195,3),3,4)))</f>
        <v>4</v>
      </c>
      <c r="X189" s="22">
        <f>IF(Data!X189&lt;=QUARTILE(Data!X$4:X$195,1),1,IF(Data!X189&lt;=MEDIAN(Data!X$4:X$195),2,IF(Data!X189&lt;=QUARTILE(Data!X$4:X$195,3),3,4)))</f>
        <v>4</v>
      </c>
      <c r="Y189" s="33">
        <f>IF(Data!Y189&lt;=QUARTILE(Data!Y$4:Y$195,1),1,IF(Data!Y189&lt;=MEDIAN(Data!Y$4:Y$195),2,IF(Data!Y189&lt;=QUARTILE(Data!Y$4:Y$195,3),3,4)))</f>
        <v>1</v>
      </c>
      <c r="Z189" s="34">
        <f>IF(Data!Z189&lt;=QUARTILE(Data!Z$4:Z$195,1),1,IF(Data!Z189&lt;=MEDIAN(Data!Z$4:Z$195),2,IF(Data!Z189&lt;=QUARTILE(Data!Z$4:Z$195,3),3,4)))</f>
        <v>1</v>
      </c>
      <c r="AA189" s="25">
        <f>IF(Data!AA189&lt;=QUARTILE(Data!AA$4:AA$195,1),1,IF(Data!AA189&lt;=MEDIAN(Data!AA$4:AA$195),2,IF(Data!AA189&lt;=QUARTILE(Data!AA$4:AA$195,3),3,4)))</f>
        <v>1</v>
      </c>
      <c r="AB189" s="22">
        <f>IF(Data!AB189&lt;=QUARTILE(Data!AB$4:AB$195,1),1,IF(Data!AB189&lt;=MEDIAN(Data!AB$4:AB$195),2,IF(Data!AB189&lt;=QUARTILE(Data!AB$4:AB$195,3),3,4)))</f>
        <v>2</v>
      </c>
      <c r="AC189" s="25">
        <f>IF(Data!AC189&lt;=QUARTILE(Data!AC$4:AC$195,1),1,IF(Data!AC189&lt;=MEDIAN(Data!AC$4:AC$195),2,IF(Data!AC189&lt;=QUARTILE(Data!AC$4:AC$195,3),3,4)))</f>
        <v>2</v>
      </c>
      <c r="AD189" s="22">
        <f>IF(Data!AD189&lt;=QUARTILE(Data!AD$4:AD$195,1),1,IF(Data!AD189&lt;=MEDIAN(Data!AD$4:AD$195),2,IF(Data!AD189&lt;=QUARTILE(Data!AD$4:AD$195,3),3,4)))</f>
        <v>2</v>
      </c>
      <c r="AE189" s="28">
        <f>IF(Data!AE189&lt;=QUARTILE(Data!AE$4:AE$195,1),1,IF(Data!AE189&lt;=MEDIAN(Data!AE$4:AE$195),2,IF(Data!AE189&lt;=QUARTILE(Data!AE$4:AE$195,3),3,4)))</f>
        <v>1</v>
      </c>
      <c r="AF189" s="28">
        <f>IF(Data!AF189&lt;=QUARTILE(Data!AF$4:AF$195,1),1,IF(Data!AF189&lt;=MEDIAN(Data!AF$4:AF$195),2,IF(Data!AF189&lt;=QUARTILE(Data!AF$4:AF$195,3),3,4)))</f>
        <v>1</v>
      </c>
      <c r="AG189" s="28">
        <f>IF(Data!AG189&lt;=QUARTILE(Data!AG$4:AG$195,1),1,IF(Data!AG189&lt;=MEDIAN(Data!AG$4:AG$195),2,IF(Data!AG189&lt;=QUARTILE(Data!AG$4:AG$195,3),3,4)))</f>
        <v>2</v>
      </c>
      <c r="AH189" s="22">
        <f>IF(Data!AH189&lt;=QUARTILE(Data!AH$4:AH$195,1),1,IF(Data!AH189&lt;=MEDIAN(Data!AH$4:AH$195),2,IF(Data!AH189&lt;=QUARTILE(Data!AH$4:AH$195,3),3,4)))</f>
        <v>2</v>
      </c>
      <c r="AI189" s="25">
        <f>IF(Data!AI189&lt;=QUARTILE(Data!AI$4:AI$195,1),1,IF(Data!AI189&lt;=MEDIAN(Data!AI$4:AI$195),2,IF(Data!AI189&lt;=QUARTILE(Data!AI$4:AI$195,3),3,4)))</f>
        <v>2</v>
      </c>
      <c r="AJ189" s="22">
        <f>IF(Data!AJ189&lt;=QUARTILE(Data!AJ$4:AJ$195,1),1,IF(Data!AJ189&lt;=MEDIAN(Data!AJ$4:AJ$195),2,IF(Data!AJ189&lt;=QUARTILE(Data!AJ$4:AJ$195,3),3,4)))</f>
        <v>2</v>
      </c>
      <c r="AK189" s="25">
        <f>IF(Data!AK189&lt;=QUARTILE(Data!AK$4:AK$195,1),1,IF(Data!AK189&lt;=MEDIAN(Data!AK$4:AK$195),2,IF(Data!AK189&lt;=QUARTILE(Data!AK$4:AK$195,3),3,4)))</f>
        <v>2</v>
      </c>
      <c r="AL189" s="28">
        <f>IF(Data!AL189&lt;=QUARTILE(Data!AL$4:AL$195,1),1,IF(Data!AL189&lt;=MEDIAN(Data!AL$4:AL$195),2,IF(Data!AL189&lt;=QUARTILE(Data!AL$4:AL$195,3),3,4)))</f>
        <v>3</v>
      </c>
      <c r="AM189" s="28">
        <f>IF(Data!AM189&lt;=QUARTILE(Data!AM$4:AM$195,1),1,IF(Data!AM189&lt;=MEDIAN(Data!AM$4:AM$195),2,IF(Data!AM189&lt;=QUARTILE(Data!AM$4:AM$195,3),3,4)))</f>
        <v>2</v>
      </c>
      <c r="AN189" s="22">
        <f>IF(Data!AN189&lt;=QUARTILE(Data!AN$4:AN$195,1),1,IF(Data!AN189&lt;=MEDIAN(Data!AN$4:AN$195),2,IF(Data!AN189&lt;=QUARTILE(Data!AN$4:AN$195,3),3,4)))</f>
        <v>4</v>
      </c>
      <c r="AO189" s="28">
        <f>IF(Data!AO189&lt;=QUARTILE(Data!AO$4:AO$195,1),1,IF(Data!AO189&lt;=MEDIAN(Data!AO$4:AO$195),2,IF(Data!AO189&lt;=QUARTILE(Data!AO$4:AO$195,3),3,4)))</f>
        <v>4</v>
      </c>
      <c r="AP189" s="28">
        <f>IF(Data!AP189&lt;=QUARTILE(Data!AP$4:AP$195,1),1,IF(Data!AP189&lt;=MEDIAN(Data!AP$4:AP$195),2,IF(Data!AP189&lt;=QUARTILE(Data!AP$4:AP$195,3),3,4)))</f>
        <v>4</v>
      </c>
      <c r="AQ189" s="28">
        <f>IF(Data!AQ189&lt;=QUARTILE(Data!AQ$4:AQ$195,1),1,IF(Data!AQ189&lt;=MEDIAN(Data!AQ$4:AQ$195),2,IF(Data!AQ189&lt;=QUARTILE(Data!AQ$4:AQ$195,3),3,4)))</f>
        <v>4</v>
      </c>
      <c r="AR189" s="28">
        <f>IF(Data!AR189&lt;=QUARTILE(Data!AR$4:AR$195,1),1,IF(Data!AR189&lt;=MEDIAN(Data!AR$4:AR$195),2,IF(Data!AR189&lt;=QUARTILE(Data!AR$4:AR$195,3),3,4)))</f>
        <v>2</v>
      </c>
      <c r="AS189" s="28">
        <f>IF(Data!AS189&lt;=QUARTILE(Data!AS$4:AS$195,1),1,IF(Data!AS189&lt;=MEDIAN(Data!AS$4:AS$195),2,IF(Data!AS189&lt;=QUARTILE(Data!AS$4:AS$195,3),3,4)))</f>
        <v>4</v>
      </c>
      <c r="AT189" s="28">
        <f>IF(Data!AT189&lt;=QUARTILE(Data!AT$4:AT$195,1),1,IF(Data!AT189&lt;=MEDIAN(Data!AT$4:AT$195),2,IF(Data!AT189&lt;=QUARTILE(Data!AT$4:AT$195,3),3,4)))</f>
        <v>1</v>
      </c>
      <c r="AU189" s="22">
        <f>IF(Data!AU189&lt;=QUARTILE(Data!AU$4:AU$195,1),1,IF(Data!AU189&lt;=MEDIAN(Data!AU$4:AU$195),2,IF(Data!AU189&lt;=QUARTILE(Data!AU$4:AU$195,3),3,4)))</f>
        <v>1</v>
      </c>
      <c r="AV189" s="25">
        <f>IF(Data!AV189&lt;=QUARTILE(Data!AV$4:AV$195,1),1,IF(Data!AV189&lt;=MEDIAN(Data!AV$4:AV$195),2,IF(Data!AV189&lt;=QUARTILE(Data!AV$4:AV$195,3),3,4)))</f>
        <v>1</v>
      </c>
      <c r="AW189" s="28">
        <f>IF(Data!AW189&lt;=QUARTILE(Data!AW$4:AW$195,1),1,IF(Data!AW189&lt;=MEDIAN(Data!AW$4:AW$195),2,IF(Data!AW189&lt;=QUARTILE(Data!AW$4:AW$195,3),3,4)))</f>
        <v>1</v>
      </c>
      <c r="AX189" s="28">
        <f>IF(Data!AX189&lt;=QUARTILE(Data!AX$4:AX$195,1),1,IF(Data!AX189&lt;=MEDIAN(Data!AX$4:AX$195),2,IF(Data!AX189&lt;=QUARTILE(Data!AX$4:AX$195,3),3,4)))</f>
        <v>3</v>
      </c>
      <c r="AY189" s="22">
        <f>IF(Data!AY189&lt;=QUARTILE(Data!AY$4:AY$195,1),1,IF(Data!AY189&lt;=MEDIAN(Data!AY$4:AY$195),2,IF(Data!AY189&lt;=QUARTILE(Data!AY$4:AY$195,3),3,4)))</f>
        <v>1</v>
      </c>
      <c r="AZ189" s="25">
        <f>IF(Data!AZ189&lt;=QUARTILE(Data!AZ$4:AZ$195,1),1,IF(Data!AZ189&lt;=MEDIAN(Data!AZ$4:AZ$195),2,IF(Data!AZ189&lt;=QUARTILE(Data!AZ$4:AZ$195,3),3,4)))</f>
        <v>4</v>
      </c>
      <c r="BA189" s="22">
        <f>IF(Data!BA189&lt;=QUARTILE(Data!BA$4:BA$195,1),1,IF(Data!BA189&lt;=MEDIAN(Data!BA$4:BA$195),2,IF(Data!BA189&lt;=QUARTILE(Data!BA$4:BA$195,3),3,4)))</f>
        <v>2</v>
      </c>
    </row>
    <row r="190" spans="1:53" x14ac:dyDescent="0.25">
      <c r="A190" s="4" t="s">
        <v>32</v>
      </c>
      <c r="B190" s="40">
        <v>2004</v>
      </c>
      <c r="C190" s="25">
        <v>2</v>
      </c>
      <c r="D190" s="28">
        <v>14</v>
      </c>
      <c r="E190" s="77" t="s">
        <v>96</v>
      </c>
      <c r="F190" s="28">
        <v>-13.6</v>
      </c>
      <c r="G190" s="28">
        <v>-5.0999999999999996</v>
      </c>
      <c r="H190" s="22">
        <v>-8.6</v>
      </c>
      <c r="I190" s="25">
        <f>IF(Data!I190&lt;=QUARTILE(Data!I$4:I$195,1),1,IF(Data!I190&lt;=MEDIAN(Data!I$4:I$195),2,IF(Data!I190&lt;=QUARTILE(Data!I$4:I$195,3),3,4)))</f>
        <v>1</v>
      </c>
      <c r="J190" s="28">
        <f>IF(Data!J190&lt;=QUARTILE(Data!J$4:J$195,1),1,IF(Data!J190&lt;=MEDIAN(Data!J$4:J$195),2,IF(Data!J190&lt;=QUARTILE(Data!J$4:J$195,3),3,4)))</f>
        <v>1</v>
      </c>
      <c r="K190" s="28">
        <f>IF(Data!K190&lt;=QUARTILE(Data!K$4:K$195,1),1,IF(Data!K190&lt;=MEDIAN(Data!K$4:K$195),2,IF(Data!K190&lt;=QUARTILE(Data!K$4:K$195,3),3,4)))</f>
        <v>3</v>
      </c>
      <c r="L190" s="22">
        <f>IF(Data!L190&lt;=QUARTILE(Data!L$4:L$195,1),1,IF(Data!L190&lt;=MEDIAN(Data!L$4:L$195),2,IF(Data!L190&lt;=QUARTILE(Data!L$4:L$195,3),3,4)))</f>
        <v>2</v>
      </c>
      <c r="M190" s="28">
        <f>IF(Data!M190&lt;=QUARTILE(Data!M$4:M$195,1),1,IF(Data!M190&lt;=MEDIAN(Data!M$4:M$195),2,IF(Data!M190&lt;=QUARTILE(Data!M$4:M$195,3),3,4)))</f>
        <v>3</v>
      </c>
      <c r="N190" s="28">
        <f>IF(Data!N190&lt;=QUARTILE(Data!N$4:N$195,1),1,IF(Data!N190&lt;=MEDIAN(Data!N$4:N$195),2,IF(Data!N190&lt;=QUARTILE(Data!N$4:N$195,3),3,4)))</f>
        <v>4</v>
      </c>
      <c r="O190" s="28">
        <f>IF(Data!O190&lt;=QUARTILE(Data!O$4:O$195,1),1,IF(Data!O190&lt;=MEDIAN(Data!O$4:O$195),2,IF(Data!O190&lt;=QUARTILE(Data!O$4:O$195,3),3,4)))</f>
        <v>2</v>
      </c>
      <c r="P190" s="28">
        <f>IF(Data!P190&lt;=QUARTILE(Data!P$4:P$195,1),1,IF(Data!P190&lt;=MEDIAN(Data!P$4:P$195),2,IF(Data!P190&lt;=QUARTILE(Data!P$4:P$195,3),3,4)))</f>
        <v>1</v>
      </c>
      <c r="Q190" s="28">
        <f>IF(Data!Q190&lt;=QUARTILE(Data!Q$4:Q$195,1),1,IF(Data!Q190&lt;=MEDIAN(Data!Q$4:Q$195),2,IF(Data!Q190&lt;=QUARTILE(Data!Q$4:Q$195,3),3,4)))</f>
        <v>2</v>
      </c>
      <c r="R190" s="28">
        <f>IF(Data!R190&lt;=QUARTILE(Data!R$4:R$195,1),1,IF(Data!R190&lt;=MEDIAN(Data!R$4:R$195),2,IF(Data!R190&lt;=QUARTILE(Data!R$4:R$195,3),3,4)))</f>
        <v>1</v>
      </c>
      <c r="S190" s="28">
        <f>IF(Data!S190&lt;=QUARTILE(Data!S$4:S$195,1),1,IF(Data!S190&lt;=MEDIAN(Data!S$4:S$195),2,IF(Data!S190&lt;=QUARTILE(Data!S$4:S$195,3),3,4)))</f>
        <v>4</v>
      </c>
      <c r="T190" s="22">
        <f>IF(Data!T190&lt;=QUARTILE(Data!T$4:T$195,1),1,IF(Data!T190&lt;=MEDIAN(Data!T$4:T$195),2,IF(Data!T190&lt;=QUARTILE(Data!T$4:T$195,3),3,4)))</f>
        <v>4</v>
      </c>
      <c r="U190" s="25">
        <f>IF(Data!U190&lt;=QUARTILE(Data!U$4:U$195,1),1,IF(Data!U190&lt;=MEDIAN(Data!U$4:U$195),2,IF(Data!U190&lt;=QUARTILE(Data!U$4:U$195,3),3,4)))</f>
        <v>2</v>
      </c>
      <c r="V190" s="28">
        <f>IF(Data!V190&lt;=QUARTILE(Data!V$4:V$195,1),1,IF(Data!V190&lt;=MEDIAN(Data!V$4:V$195),2,IF(Data!V190&lt;=QUARTILE(Data!V$4:V$195,3),3,4)))</f>
        <v>1</v>
      </c>
      <c r="W190" s="28">
        <f>IF(Data!W190&lt;=QUARTILE(Data!W$4:W$195,1),1,IF(Data!W190&lt;=MEDIAN(Data!W$4:W$195),2,IF(Data!W190&lt;=QUARTILE(Data!W$4:W$195,3),3,4)))</f>
        <v>2</v>
      </c>
      <c r="X190" s="22">
        <f>IF(Data!X190&lt;=QUARTILE(Data!X$4:X$195,1),1,IF(Data!X190&lt;=MEDIAN(Data!X$4:X$195),2,IF(Data!X190&lt;=QUARTILE(Data!X$4:X$195,3),3,4)))</f>
        <v>1</v>
      </c>
      <c r="Y190" s="33">
        <f>IF(Data!Y190&lt;=QUARTILE(Data!Y$4:Y$195,1),1,IF(Data!Y190&lt;=MEDIAN(Data!Y$4:Y$195),2,IF(Data!Y190&lt;=QUARTILE(Data!Y$4:Y$195,3),3,4)))</f>
        <v>4</v>
      </c>
      <c r="Z190" s="34">
        <f>IF(Data!Z190&lt;=QUARTILE(Data!Z$4:Z$195,1),1,IF(Data!Z190&lt;=MEDIAN(Data!Z$4:Z$195),2,IF(Data!Z190&lt;=QUARTILE(Data!Z$4:Z$195,3),3,4)))</f>
        <v>4</v>
      </c>
      <c r="AA190" s="25">
        <f>IF(Data!AA190&lt;=QUARTILE(Data!AA$4:AA$195,1),1,IF(Data!AA190&lt;=MEDIAN(Data!AA$4:AA$195),2,IF(Data!AA190&lt;=QUARTILE(Data!AA$4:AA$195,3),3,4)))</f>
        <v>2</v>
      </c>
      <c r="AB190" s="22">
        <f>IF(Data!AB190&lt;=QUARTILE(Data!AB$4:AB$195,1),1,IF(Data!AB190&lt;=MEDIAN(Data!AB$4:AB$195),2,IF(Data!AB190&lt;=QUARTILE(Data!AB$4:AB$195,3),3,4)))</f>
        <v>2</v>
      </c>
      <c r="AC190" s="25">
        <f>IF(Data!AC190&lt;=QUARTILE(Data!AC$4:AC$195,1),1,IF(Data!AC190&lt;=MEDIAN(Data!AC$4:AC$195),2,IF(Data!AC190&lt;=QUARTILE(Data!AC$4:AC$195,3),3,4)))</f>
        <v>4</v>
      </c>
      <c r="AD190" s="22">
        <f>IF(Data!AD190&lt;=QUARTILE(Data!AD$4:AD$195,1),1,IF(Data!AD190&lt;=MEDIAN(Data!AD$4:AD$195),2,IF(Data!AD190&lt;=QUARTILE(Data!AD$4:AD$195,3),3,4)))</f>
        <v>4</v>
      </c>
      <c r="AE190" s="28">
        <f>IF(Data!AE190&lt;=QUARTILE(Data!AE$4:AE$195,1),1,IF(Data!AE190&lt;=MEDIAN(Data!AE$4:AE$195),2,IF(Data!AE190&lt;=QUARTILE(Data!AE$4:AE$195,3),3,4)))</f>
        <v>1</v>
      </c>
      <c r="AF190" s="28">
        <f>IF(Data!AF190&lt;=QUARTILE(Data!AF$4:AF$195,1),1,IF(Data!AF190&lt;=MEDIAN(Data!AF$4:AF$195),2,IF(Data!AF190&lt;=QUARTILE(Data!AF$4:AF$195,3),3,4)))</f>
        <v>1</v>
      </c>
      <c r="AG190" s="28">
        <f>IF(Data!AG190&lt;=QUARTILE(Data!AG$4:AG$195,1),1,IF(Data!AG190&lt;=MEDIAN(Data!AG$4:AG$195),2,IF(Data!AG190&lt;=QUARTILE(Data!AG$4:AG$195,3),3,4)))</f>
        <v>2</v>
      </c>
      <c r="AH190" s="22">
        <f>IF(Data!AH190&lt;=QUARTILE(Data!AH$4:AH$195,1),1,IF(Data!AH190&lt;=MEDIAN(Data!AH$4:AH$195),2,IF(Data!AH190&lt;=QUARTILE(Data!AH$4:AH$195,3),3,4)))</f>
        <v>2</v>
      </c>
      <c r="AI190" s="25">
        <f>IF(Data!AI190&lt;=QUARTILE(Data!AI$4:AI$195,1),1,IF(Data!AI190&lt;=MEDIAN(Data!AI$4:AI$195),2,IF(Data!AI190&lt;=QUARTILE(Data!AI$4:AI$195,3),3,4)))</f>
        <v>4</v>
      </c>
      <c r="AJ190" s="22">
        <f>IF(Data!AJ190&lt;=QUARTILE(Data!AJ$4:AJ$195,1),1,IF(Data!AJ190&lt;=MEDIAN(Data!AJ$4:AJ$195),2,IF(Data!AJ190&lt;=QUARTILE(Data!AJ$4:AJ$195,3),3,4)))</f>
        <v>4</v>
      </c>
      <c r="AK190" s="25">
        <f>IF(Data!AK190&lt;=QUARTILE(Data!AK$4:AK$195,1),1,IF(Data!AK190&lt;=MEDIAN(Data!AK$4:AK$195),2,IF(Data!AK190&lt;=QUARTILE(Data!AK$4:AK$195,3),3,4)))</f>
        <v>4</v>
      </c>
      <c r="AL190" s="28">
        <f>IF(Data!AL190&lt;=QUARTILE(Data!AL$4:AL$195,1),1,IF(Data!AL190&lt;=MEDIAN(Data!AL$4:AL$195),2,IF(Data!AL190&lt;=QUARTILE(Data!AL$4:AL$195,3),3,4)))</f>
        <v>3</v>
      </c>
      <c r="AM190" s="28">
        <f>IF(Data!AM190&lt;=QUARTILE(Data!AM$4:AM$195,1),1,IF(Data!AM190&lt;=MEDIAN(Data!AM$4:AM$195),2,IF(Data!AM190&lt;=QUARTILE(Data!AM$4:AM$195,3),3,4)))</f>
        <v>3</v>
      </c>
      <c r="AN190" s="22">
        <f>IF(Data!AN190&lt;=QUARTILE(Data!AN$4:AN$195,1),1,IF(Data!AN190&lt;=MEDIAN(Data!AN$4:AN$195),2,IF(Data!AN190&lt;=QUARTILE(Data!AN$4:AN$195,3),3,4)))</f>
        <v>4</v>
      </c>
      <c r="AO190" s="28">
        <f>IF(Data!AO190&lt;=QUARTILE(Data!AO$4:AO$195,1),1,IF(Data!AO190&lt;=MEDIAN(Data!AO$4:AO$195),2,IF(Data!AO190&lt;=QUARTILE(Data!AO$4:AO$195,3),3,4)))</f>
        <v>2</v>
      </c>
      <c r="AP190" s="28">
        <f>IF(Data!AP190&lt;=QUARTILE(Data!AP$4:AP$195,1),1,IF(Data!AP190&lt;=MEDIAN(Data!AP$4:AP$195),2,IF(Data!AP190&lt;=QUARTILE(Data!AP$4:AP$195,3),3,4)))</f>
        <v>1</v>
      </c>
      <c r="AQ190" s="28">
        <f>IF(Data!AQ190&lt;=QUARTILE(Data!AQ$4:AQ$195,1),1,IF(Data!AQ190&lt;=MEDIAN(Data!AQ$4:AQ$195),2,IF(Data!AQ190&lt;=QUARTILE(Data!AQ$4:AQ$195,3),3,4)))</f>
        <v>3</v>
      </c>
      <c r="AR190" s="28">
        <f>IF(Data!AR190&lt;=QUARTILE(Data!AR$4:AR$195,1),1,IF(Data!AR190&lt;=MEDIAN(Data!AR$4:AR$195),2,IF(Data!AR190&lt;=QUARTILE(Data!AR$4:AR$195,3),3,4)))</f>
        <v>4</v>
      </c>
      <c r="AS190" s="28">
        <f>IF(Data!AS190&lt;=QUARTILE(Data!AS$4:AS$195,1),1,IF(Data!AS190&lt;=MEDIAN(Data!AS$4:AS$195),2,IF(Data!AS190&lt;=QUARTILE(Data!AS$4:AS$195,3),3,4)))</f>
        <v>3</v>
      </c>
      <c r="AT190" s="28">
        <f>IF(Data!AT190&lt;=QUARTILE(Data!AT$4:AT$195,1),1,IF(Data!AT190&lt;=MEDIAN(Data!AT$4:AT$195),2,IF(Data!AT190&lt;=QUARTILE(Data!AT$4:AT$195,3),3,4)))</f>
        <v>1</v>
      </c>
      <c r="AU190" s="22">
        <f>IF(Data!AU190&lt;=QUARTILE(Data!AU$4:AU$195,1),1,IF(Data!AU190&lt;=MEDIAN(Data!AU$4:AU$195),2,IF(Data!AU190&lt;=QUARTILE(Data!AU$4:AU$195,3),3,4)))</f>
        <v>2</v>
      </c>
      <c r="AV190" s="25">
        <f>IF(Data!AV190&lt;=QUARTILE(Data!AV$4:AV$195,1),1,IF(Data!AV190&lt;=MEDIAN(Data!AV$4:AV$195),2,IF(Data!AV190&lt;=QUARTILE(Data!AV$4:AV$195,3),3,4)))</f>
        <v>4</v>
      </c>
      <c r="AW190" s="28">
        <f>IF(Data!AW190&lt;=QUARTILE(Data!AW$4:AW$195,1),1,IF(Data!AW190&lt;=MEDIAN(Data!AW$4:AW$195),2,IF(Data!AW190&lt;=QUARTILE(Data!AW$4:AW$195,3),3,4)))</f>
        <v>3</v>
      </c>
      <c r="AX190" s="28">
        <f>IF(Data!AX190&lt;=QUARTILE(Data!AX$4:AX$195,1),1,IF(Data!AX190&lt;=MEDIAN(Data!AX$4:AX$195),2,IF(Data!AX190&lt;=QUARTILE(Data!AX$4:AX$195,3),3,4)))</f>
        <v>4</v>
      </c>
      <c r="AY190" s="22">
        <f>IF(Data!AY190&lt;=QUARTILE(Data!AY$4:AY$195,1),1,IF(Data!AY190&lt;=MEDIAN(Data!AY$4:AY$195),2,IF(Data!AY190&lt;=QUARTILE(Data!AY$4:AY$195,3),3,4)))</f>
        <v>4</v>
      </c>
      <c r="AZ190" s="25">
        <f>IF(Data!AZ190&lt;=QUARTILE(Data!AZ$4:AZ$195,1),1,IF(Data!AZ190&lt;=MEDIAN(Data!AZ$4:AZ$195),2,IF(Data!AZ190&lt;=QUARTILE(Data!AZ$4:AZ$195,3),3,4)))</f>
        <v>1</v>
      </c>
      <c r="BA190" s="22">
        <f>IF(Data!BA190&lt;=QUARTILE(Data!BA$4:BA$195,1),1,IF(Data!BA190&lt;=MEDIAN(Data!BA$4:BA$195),2,IF(Data!BA190&lt;=QUARTILE(Data!BA$4:BA$195,3),3,4)))</f>
        <v>3</v>
      </c>
    </row>
    <row r="191" spans="1:53" x14ac:dyDescent="0.25">
      <c r="A191" s="4" t="s">
        <v>33</v>
      </c>
      <c r="B191" s="40">
        <v>2004</v>
      </c>
      <c r="C191" s="25">
        <v>9</v>
      </c>
      <c r="D191" s="28">
        <v>7</v>
      </c>
      <c r="E191" s="77" t="s">
        <v>97</v>
      </c>
      <c r="F191" s="28">
        <v>-2.9</v>
      </c>
      <c r="G191" s="28">
        <v>0.4</v>
      </c>
      <c r="H191" s="22">
        <v>-3.3</v>
      </c>
      <c r="I191" s="25">
        <f>IF(Data!I191&lt;=QUARTILE(Data!I$4:I$195,1),1,IF(Data!I191&lt;=MEDIAN(Data!I$4:I$195),2,IF(Data!I191&lt;=QUARTILE(Data!I$4:I$195,3),3,4)))</f>
        <v>3</v>
      </c>
      <c r="J191" s="28">
        <f>IF(Data!J191&lt;=QUARTILE(Data!J$4:J$195,1),1,IF(Data!J191&lt;=MEDIAN(Data!J$4:J$195),2,IF(Data!J191&lt;=QUARTILE(Data!J$4:J$195,3),3,4)))</f>
        <v>4</v>
      </c>
      <c r="K191" s="28">
        <f>IF(Data!K191&lt;=QUARTILE(Data!K$4:K$195,1),1,IF(Data!K191&lt;=MEDIAN(Data!K$4:K$195),2,IF(Data!K191&lt;=QUARTILE(Data!K$4:K$195,3),3,4)))</f>
        <v>4</v>
      </c>
      <c r="L191" s="22">
        <f>IF(Data!L191&lt;=QUARTILE(Data!L$4:L$195,1),1,IF(Data!L191&lt;=MEDIAN(Data!L$4:L$195),2,IF(Data!L191&lt;=QUARTILE(Data!L$4:L$195,3),3,4)))</f>
        <v>3</v>
      </c>
      <c r="M191" s="28">
        <f>IF(Data!M191&lt;=QUARTILE(Data!M$4:M$195,1),1,IF(Data!M191&lt;=MEDIAN(Data!M$4:M$195),2,IF(Data!M191&lt;=QUARTILE(Data!M$4:M$195,3),3,4)))</f>
        <v>2</v>
      </c>
      <c r="N191" s="28">
        <f>IF(Data!N191&lt;=QUARTILE(Data!N$4:N$195,1),1,IF(Data!N191&lt;=MEDIAN(Data!N$4:N$195),2,IF(Data!N191&lt;=QUARTILE(Data!N$4:N$195,3),3,4)))</f>
        <v>3</v>
      </c>
      <c r="O191" s="28">
        <f>IF(Data!O191&lt;=QUARTILE(Data!O$4:O$195,1),1,IF(Data!O191&lt;=MEDIAN(Data!O$4:O$195),2,IF(Data!O191&lt;=QUARTILE(Data!O$4:O$195,3),3,4)))</f>
        <v>3</v>
      </c>
      <c r="P191" s="28">
        <f>IF(Data!P191&lt;=QUARTILE(Data!P$4:P$195,1),1,IF(Data!P191&lt;=MEDIAN(Data!P$4:P$195),2,IF(Data!P191&lt;=QUARTILE(Data!P$4:P$195,3),3,4)))</f>
        <v>3</v>
      </c>
      <c r="Q191" s="28">
        <f>IF(Data!Q191&lt;=QUARTILE(Data!Q$4:Q$195,1),1,IF(Data!Q191&lt;=MEDIAN(Data!Q$4:Q$195),2,IF(Data!Q191&lt;=QUARTILE(Data!Q$4:Q$195,3),3,4)))</f>
        <v>3</v>
      </c>
      <c r="R191" s="28">
        <f>IF(Data!R191&lt;=QUARTILE(Data!R$4:R$195,1),1,IF(Data!R191&lt;=MEDIAN(Data!R$4:R$195),2,IF(Data!R191&lt;=QUARTILE(Data!R$4:R$195,3),3,4)))</f>
        <v>2</v>
      </c>
      <c r="S191" s="28">
        <f>IF(Data!S191&lt;=QUARTILE(Data!S$4:S$195,1),1,IF(Data!S191&lt;=MEDIAN(Data!S$4:S$195),2,IF(Data!S191&lt;=QUARTILE(Data!S$4:S$195,3),3,4)))</f>
        <v>2</v>
      </c>
      <c r="T191" s="22">
        <f>IF(Data!T191&lt;=QUARTILE(Data!T$4:T$195,1),1,IF(Data!T191&lt;=MEDIAN(Data!T$4:T$195),2,IF(Data!T191&lt;=QUARTILE(Data!T$4:T$195,3),3,4)))</f>
        <v>2</v>
      </c>
      <c r="U191" s="25">
        <f>IF(Data!U191&lt;=QUARTILE(Data!U$4:U$195,1),1,IF(Data!U191&lt;=MEDIAN(Data!U$4:U$195),2,IF(Data!U191&lt;=QUARTILE(Data!U$4:U$195,3),3,4)))</f>
        <v>3</v>
      </c>
      <c r="V191" s="28">
        <f>IF(Data!V191&lt;=QUARTILE(Data!V$4:V$195,1),1,IF(Data!V191&lt;=MEDIAN(Data!V$4:V$195),2,IF(Data!V191&lt;=QUARTILE(Data!V$4:V$195,3),3,4)))</f>
        <v>4</v>
      </c>
      <c r="W191" s="28">
        <f>IF(Data!W191&lt;=QUARTILE(Data!W$4:W$195,1),1,IF(Data!W191&lt;=MEDIAN(Data!W$4:W$195),2,IF(Data!W191&lt;=QUARTILE(Data!W$4:W$195,3),3,4)))</f>
        <v>3</v>
      </c>
      <c r="X191" s="22">
        <f>IF(Data!X191&lt;=QUARTILE(Data!X$4:X$195,1),1,IF(Data!X191&lt;=MEDIAN(Data!X$4:X$195),2,IF(Data!X191&lt;=QUARTILE(Data!X$4:X$195,3),3,4)))</f>
        <v>3</v>
      </c>
      <c r="Y191" s="33">
        <f>IF(Data!Y191&lt;=QUARTILE(Data!Y$4:Y$195,1),1,IF(Data!Y191&lt;=MEDIAN(Data!Y$4:Y$195),2,IF(Data!Y191&lt;=QUARTILE(Data!Y$4:Y$195,3),3,4)))</f>
        <v>3</v>
      </c>
      <c r="Z191" s="34">
        <f>IF(Data!Z191&lt;=QUARTILE(Data!Z$4:Z$195,1),1,IF(Data!Z191&lt;=MEDIAN(Data!Z$4:Z$195),2,IF(Data!Z191&lt;=QUARTILE(Data!Z$4:Z$195,3),3,4)))</f>
        <v>1</v>
      </c>
      <c r="AA191" s="25">
        <f>IF(Data!AA191&lt;=QUARTILE(Data!AA$4:AA$195,1),1,IF(Data!AA191&lt;=MEDIAN(Data!AA$4:AA$195),2,IF(Data!AA191&lt;=QUARTILE(Data!AA$4:AA$195,3),3,4)))</f>
        <v>1</v>
      </c>
      <c r="AB191" s="22">
        <f>IF(Data!AB191&lt;=QUARTILE(Data!AB$4:AB$195,1),1,IF(Data!AB191&lt;=MEDIAN(Data!AB$4:AB$195),2,IF(Data!AB191&lt;=QUARTILE(Data!AB$4:AB$195,3),3,4)))</f>
        <v>1</v>
      </c>
      <c r="AC191" s="25">
        <f>IF(Data!AC191&lt;=QUARTILE(Data!AC$4:AC$195,1),1,IF(Data!AC191&lt;=MEDIAN(Data!AC$4:AC$195),2,IF(Data!AC191&lt;=QUARTILE(Data!AC$4:AC$195,3),3,4)))</f>
        <v>4</v>
      </c>
      <c r="AD191" s="22">
        <f>IF(Data!AD191&lt;=QUARTILE(Data!AD$4:AD$195,1),1,IF(Data!AD191&lt;=MEDIAN(Data!AD$4:AD$195),2,IF(Data!AD191&lt;=QUARTILE(Data!AD$4:AD$195,3),3,4)))</f>
        <v>3</v>
      </c>
      <c r="AE191" s="28">
        <f>IF(Data!AE191&lt;=QUARTILE(Data!AE$4:AE$195,1),1,IF(Data!AE191&lt;=MEDIAN(Data!AE$4:AE$195),2,IF(Data!AE191&lt;=QUARTILE(Data!AE$4:AE$195,3),3,4)))</f>
        <v>2</v>
      </c>
      <c r="AF191" s="28">
        <f>IF(Data!AF191&lt;=QUARTILE(Data!AF$4:AF$195,1),1,IF(Data!AF191&lt;=MEDIAN(Data!AF$4:AF$195),2,IF(Data!AF191&lt;=QUARTILE(Data!AF$4:AF$195,3),3,4)))</f>
        <v>2</v>
      </c>
      <c r="AG191" s="28">
        <f>IF(Data!AG191&lt;=QUARTILE(Data!AG$4:AG$195,1),1,IF(Data!AG191&lt;=MEDIAN(Data!AG$4:AG$195),2,IF(Data!AG191&lt;=QUARTILE(Data!AG$4:AG$195,3),3,4)))</f>
        <v>1</v>
      </c>
      <c r="AH191" s="22">
        <f>IF(Data!AH191&lt;=QUARTILE(Data!AH$4:AH$195,1),1,IF(Data!AH191&lt;=MEDIAN(Data!AH$4:AH$195),2,IF(Data!AH191&lt;=QUARTILE(Data!AH$4:AH$195,3),3,4)))</f>
        <v>2</v>
      </c>
      <c r="AI191" s="25">
        <f>IF(Data!AI191&lt;=QUARTILE(Data!AI$4:AI$195,1),1,IF(Data!AI191&lt;=MEDIAN(Data!AI$4:AI$195),2,IF(Data!AI191&lt;=QUARTILE(Data!AI$4:AI$195,3),3,4)))</f>
        <v>3</v>
      </c>
      <c r="AJ191" s="22">
        <f>IF(Data!AJ191&lt;=QUARTILE(Data!AJ$4:AJ$195,1),1,IF(Data!AJ191&lt;=MEDIAN(Data!AJ$4:AJ$195),2,IF(Data!AJ191&lt;=QUARTILE(Data!AJ$4:AJ$195,3),3,4)))</f>
        <v>2</v>
      </c>
      <c r="AK191" s="25">
        <f>IF(Data!AK191&lt;=QUARTILE(Data!AK$4:AK$195,1),1,IF(Data!AK191&lt;=MEDIAN(Data!AK$4:AK$195),2,IF(Data!AK191&lt;=QUARTILE(Data!AK$4:AK$195,3),3,4)))</f>
        <v>3</v>
      </c>
      <c r="AL191" s="28">
        <f>IF(Data!AL191&lt;=QUARTILE(Data!AL$4:AL$195,1),1,IF(Data!AL191&lt;=MEDIAN(Data!AL$4:AL$195),2,IF(Data!AL191&lt;=QUARTILE(Data!AL$4:AL$195,3),3,4)))</f>
        <v>4</v>
      </c>
      <c r="AM191" s="28">
        <f>IF(Data!AM191&lt;=QUARTILE(Data!AM$4:AM$195,1),1,IF(Data!AM191&lt;=MEDIAN(Data!AM$4:AM$195),2,IF(Data!AM191&lt;=QUARTILE(Data!AM$4:AM$195,3),3,4)))</f>
        <v>4</v>
      </c>
      <c r="AN191" s="22">
        <f>IF(Data!AN191&lt;=QUARTILE(Data!AN$4:AN$195,1),1,IF(Data!AN191&lt;=MEDIAN(Data!AN$4:AN$195),2,IF(Data!AN191&lt;=QUARTILE(Data!AN$4:AN$195,3),3,4)))</f>
        <v>3</v>
      </c>
      <c r="AO191" s="28">
        <f>IF(Data!AO191&lt;=QUARTILE(Data!AO$4:AO$195,1),1,IF(Data!AO191&lt;=MEDIAN(Data!AO$4:AO$195),2,IF(Data!AO191&lt;=QUARTILE(Data!AO$4:AO$195,3),3,4)))</f>
        <v>4</v>
      </c>
      <c r="AP191" s="28">
        <f>IF(Data!AP191&lt;=QUARTILE(Data!AP$4:AP$195,1),1,IF(Data!AP191&lt;=MEDIAN(Data!AP$4:AP$195),2,IF(Data!AP191&lt;=QUARTILE(Data!AP$4:AP$195,3),3,4)))</f>
        <v>4</v>
      </c>
      <c r="AQ191" s="28">
        <f>IF(Data!AQ191&lt;=QUARTILE(Data!AQ$4:AQ$195,1),1,IF(Data!AQ191&lt;=MEDIAN(Data!AQ$4:AQ$195),2,IF(Data!AQ191&lt;=QUARTILE(Data!AQ$4:AQ$195,3),3,4)))</f>
        <v>3</v>
      </c>
      <c r="AR191" s="28">
        <f>IF(Data!AR191&lt;=QUARTILE(Data!AR$4:AR$195,1),1,IF(Data!AR191&lt;=MEDIAN(Data!AR$4:AR$195),2,IF(Data!AR191&lt;=QUARTILE(Data!AR$4:AR$195,3),3,4)))</f>
        <v>3</v>
      </c>
      <c r="AS191" s="28">
        <f>IF(Data!AS191&lt;=QUARTILE(Data!AS$4:AS$195,1),1,IF(Data!AS191&lt;=MEDIAN(Data!AS$4:AS$195),2,IF(Data!AS191&lt;=QUARTILE(Data!AS$4:AS$195,3),3,4)))</f>
        <v>4</v>
      </c>
      <c r="AT191" s="28">
        <f>IF(Data!AT191&lt;=QUARTILE(Data!AT$4:AT$195,1),1,IF(Data!AT191&lt;=MEDIAN(Data!AT$4:AT$195),2,IF(Data!AT191&lt;=QUARTILE(Data!AT$4:AT$195,3),3,4)))</f>
        <v>3</v>
      </c>
      <c r="AU191" s="22">
        <f>IF(Data!AU191&lt;=QUARTILE(Data!AU$4:AU$195,1),1,IF(Data!AU191&lt;=MEDIAN(Data!AU$4:AU$195),2,IF(Data!AU191&lt;=QUARTILE(Data!AU$4:AU$195,3),3,4)))</f>
        <v>2</v>
      </c>
      <c r="AV191" s="25">
        <f>IF(Data!AV191&lt;=QUARTILE(Data!AV$4:AV$195,1),1,IF(Data!AV191&lt;=MEDIAN(Data!AV$4:AV$195),2,IF(Data!AV191&lt;=QUARTILE(Data!AV$4:AV$195,3),3,4)))</f>
        <v>3</v>
      </c>
      <c r="AW191" s="28">
        <f>IF(Data!AW191&lt;=QUARTILE(Data!AW$4:AW$195,1),1,IF(Data!AW191&lt;=MEDIAN(Data!AW$4:AW$195),2,IF(Data!AW191&lt;=QUARTILE(Data!AW$4:AW$195,3),3,4)))</f>
        <v>3</v>
      </c>
      <c r="AX191" s="28">
        <f>IF(Data!AX191&lt;=QUARTILE(Data!AX$4:AX$195,1),1,IF(Data!AX191&lt;=MEDIAN(Data!AX$4:AX$195),2,IF(Data!AX191&lt;=QUARTILE(Data!AX$4:AX$195,3),3,4)))</f>
        <v>4</v>
      </c>
      <c r="AY191" s="22">
        <f>IF(Data!AY191&lt;=QUARTILE(Data!AY$4:AY$195,1),1,IF(Data!AY191&lt;=MEDIAN(Data!AY$4:AY$195),2,IF(Data!AY191&lt;=QUARTILE(Data!AY$4:AY$195,3),3,4)))</f>
        <v>3</v>
      </c>
      <c r="AZ191" s="25">
        <f>IF(Data!AZ191&lt;=QUARTILE(Data!AZ$4:AZ$195,1),1,IF(Data!AZ191&lt;=MEDIAN(Data!AZ$4:AZ$195),2,IF(Data!AZ191&lt;=QUARTILE(Data!AZ$4:AZ$195,3),3,4)))</f>
        <v>4</v>
      </c>
      <c r="BA191" s="22">
        <f>IF(Data!BA191&lt;=QUARTILE(Data!BA$4:BA$195,1),1,IF(Data!BA191&lt;=MEDIAN(Data!BA$4:BA$195),2,IF(Data!BA191&lt;=QUARTILE(Data!BA$4:BA$195,3),3,4)))</f>
        <v>3</v>
      </c>
    </row>
    <row r="192" spans="1:53" x14ac:dyDescent="0.25">
      <c r="A192" s="4" t="s">
        <v>34</v>
      </c>
      <c r="B192" s="40">
        <v>2004</v>
      </c>
      <c r="C192" s="25">
        <v>8</v>
      </c>
      <c r="D192" s="28">
        <v>8</v>
      </c>
      <c r="E192" s="77" t="s">
        <v>97</v>
      </c>
      <c r="F192" s="28">
        <v>-6</v>
      </c>
      <c r="G192" s="28">
        <v>-2.2000000000000002</v>
      </c>
      <c r="H192" s="22">
        <v>-3.8</v>
      </c>
      <c r="I192" s="25">
        <f>IF(Data!I192&lt;=QUARTILE(Data!I$4:I$195,1),1,IF(Data!I192&lt;=MEDIAN(Data!I$4:I$195),2,IF(Data!I192&lt;=QUARTILE(Data!I$4:I$195,3),3,4)))</f>
        <v>2</v>
      </c>
      <c r="J192" s="28">
        <f>IF(Data!J192&lt;=QUARTILE(Data!J$4:J$195,1),1,IF(Data!J192&lt;=MEDIAN(Data!J$4:J$195),2,IF(Data!J192&lt;=QUARTILE(Data!J$4:J$195,3),3,4)))</f>
        <v>4</v>
      </c>
      <c r="K192" s="28">
        <f>IF(Data!K192&lt;=QUARTILE(Data!K$4:K$195,1),1,IF(Data!K192&lt;=MEDIAN(Data!K$4:K$195),2,IF(Data!K192&lt;=QUARTILE(Data!K$4:K$195,3),3,4)))</f>
        <v>3</v>
      </c>
      <c r="L192" s="22">
        <f>IF(Data!L192&lt;=QUARTILE(Data!L$4:L$195,1),1,IF(Data!L192&lt;=MEDIAN(Data!L$4:L$195),2,IF(Data!L192&lt;=QUARTILE(Data!L$4:L$195,3),3,4)))</f>
        <v>3</v>
      </c>
      <c r="M192" s="28">
        <f>IF(Data!M192&lt;=QUARTILE(Data!M$4:M$195,1),1,IF(Data!M192&lt;=MEDIAN(Data!M$4:M$195),2,IF(Data!M192&lt;=QUARTILE(Data!M$4:M$195,3),3,4)))</f>
        <v>4</v>
      </c>
      <c r="N192" s="28">
        <f>IF(Data!N192&lt;=QUARTILE(Data!N$4:N$195,1),1,IF(Data!N192&lt;=MEDIAN(Data!N$4:N$195),2,IF(Data!N192&lt;=QUARTILE(Data!N$4:N$195,3),3,4)))</f>
        <v>4</v>
      </c>
      <c r="O192" s="28">
        <f>IF(Data!O192&lt;=QUARTILE(Data!O$4:O$195,1),1,IF(Data!O192&lt;=MEDIAN(Data!O$4:O$195),2,IF(Data!O192&lt;=QUARTILE(Data!O$4:O$195,3),3,4)))</f>
        <v>4</v>
      </c>
      <c r="P192" s="28">
        <f>IF(Data!P192&lt;=QUARTILE(Data!P$4:P$195,1),1,IF(Data!P192&lt;=MEDIAN(Data!P$4:P$195),2,IF(Data!P192&lt;=QUARTILE(Data!P$4:P$195,3),3,4)))</f>
        <v>3</v>
      </c>
      <c r="Q192" s="28">
        <f>IF(Data!Q192&lt;=QUARTILE(Data!Q$4:Q$195,1),1,IF(Data!Q192&lt;=MEDIAN(Data!Q$4:Q$195),2,IF(Data!Q192&lt;=QUARTILE(Data!Q$4:Q$195,3),3,4)))</f>
        <v>4</v>
      </c>
      <c r="R192" s="28">
        <f>IF(Data!R192&lt;=QUARTILE(Data!R$4:R$195,1),1,IF(Data!R192&lt;=MEDIAN(Data!R$4:R$195),2,IF(Data!R192&lt;=QUARTILE(Data!R$4:R$195,3),3,4)))</f>
        <v>3</v>
      </c>
      <c r="S192" s="28">
        <f>IF(Data!S192&lt;=QUARTILE(Data!S$4:S$195,1),1,IF(Data!S192&lt;=MEDIAN(Data!S$4:S$195),2,IF(Data!S192&lt;=QUARTILE(Data!S$4:S$195,3),3,4)))</f>
        <v>4</v>
      </c>
      <c r="T192" s="22">
        <f>IF(Data!T192&lt;=QUARTILE(Data!T$4:T$195,1),1,IF(Data!T192&lt;=MEDIAN(Data!T$4:T$195),2,IF(Data!T192&lt;=QUARTILE(Data!T$4:T$195,3),3,4)))</f>
        <v>4</v>
      </c>
      <c r="U192" s="25">
        <f>IF(Data!U192&lt;=QUARTILE(Data!U$4:U$195,1),1,IF(Data!U192&lt;=MEDIAN(Data!U$4:U$195),2,IF(Data!U192&lt;=QUARTILE(Data!U$4:U$195,3),3,4)))</f>
        <v>1</v>
      </c>
      <c r="V192" s="28">
        <f>IF(Data!V192&lt;=QUARTILE(Data!V$4:V$195,1),1,IF(Data!V192&lt;=MEDIAN(Data!V$4:V$195),2,IF(Data!V192&lt;=QUARTILE(Data!V$4:V$195,3),3,4)))</f>
        <v>2</v>
      </c>
      <c r="W192" s="28">
        <f>IF(Data!W192&lt;=QUARTILE(Data!W$4:W$195,1),1,IF(Data!W192&lt;=MEDIAN(Data!W$4:W$195),2,IF(Data!W192&lt;=QUARTILE(Data!W$4:W$195,3),3,4)))</f>
        <v>2</v>
      </c>
      <c r="X192" s="22">
        <f>IF(Data!X192&lt;=QUARTILE(Data!X$4:X$195,1),1,IF(Data!X192&lt;=MEDIAN(Data!X$4:X$195),2,IF(Data!X192&lt;=QUARTILE(Data!X$4:X$195,3),3,4)))</f>
        <v>2</v>
      </c>
      <c r="Y192" s="33">
        <f>IF(Data!Y192&lt;=QUARTILE(Data!Y$4:Y$195,1),1,IF(Data!Y192&lt;=MEDIAN(Data!Y$4:Y$195),2,IF(Data!Y192&lt;=QUARTILE(Data!Y$4:Y$195,3),3,4)))</f>
        <v>4</v>
      </c>
      <c r="Z192" s="34">
        <f>IF(Data!Z192&lt;=QUARTILE(Data!Z$4:Z$195,1),1,IF(Data!Z192&lt;=MEDIAN(Data!Z$4:Z$195),2,IF(Data!Z192&lt;=QUARTILE(Data!Z$4:Z$195,3),3,4)))</f>
        <v>4</v>
      </c>
      <c r="AA192" s="25">
        <f>IF(Data!AA192&lt;=QUARTILE(Data!AA$4:AA$195,1),1,IF(Data!AA192&lt;=MEDIAN(Data!AA$4:AA$195),2,IF(Data!AA192&lt;=QUARTILE(Data!AA$4:AA$195,3),3,4)))</f>
        <v>1</v>
      </c>
      <c r="AB192" s="22">
        <f>IF(Data!AB192&lt;=QUARTILE(Data!AB$4:AB$195,1),1,IF(Data!AB192&lt;=MEDIAN(Data!AB$4:AB$195),2,IF(Data!AB192&lt;=QUARTILE(Data!AB$4:AB$195,3),3,4)))</f>
        <v>1</v>
      </c>
      <c r="AC192" s="25">
        <f>IF(Data!AC192&lt;=QUARTILE(Data!AC$4:AC$195,1),1,IF(Data!AC192&lt;=MEDIAN(Data!AC$4:AC$195),2,IF(Data!AC192&lt;=QUARTILE(Data!AC$4:AC$195,3),3,4)))</f>
        <v>4</v>
      </c>
      <c r="AD192" s="22">
        <f>IF(Data!AD192&lt;=QUARTILE(Data!AD$4:AD$195,1),1,IF(Data!AD192&lt;=MEDIAN(Data!AD$4:AD$195),2,IF(Data!AD192&lt;=QUARTILE(Data!AD$4:AD$195,3),3,4)))</f>
        <v>3</v>
      </c>
      <c r="AE192" s="28">
        <f>IF(Data!AE192&lt;=QUARTILE(Data!AE$4:AE$195,1),1,IF(Data!AE192&lt;=MEDIAN(Data!AE$4:AE$195),2,IF(Data!AE192&lt;=QUARTILE(Data!AE$4:AE$195,3),3,4)))</f>
        <v>1</v>
      </c>
      <c r="AF192" s="28">
        <f>IF(Data!AF192&lt;=QUARTILE(Data!AF$4:AF$195,1),1,IF(Data!AF192&lt;=MEDIAN(Data!AF$4:AF$195),2,IF(Data!AF192&lt;=QUARTILE(Data!AF$4:AF$195,3),3,4)))</f>
        <v>1</v>
      </c>
      <c r="AG192" s="28">
        <f>IF(Data!AG192&lt;=QUARTILE(Data!AG$4:AG$195,1),1,IF(Data!AG192&lt;=MEDIAN(Data!AG$4:AG$195),2,IF(Data!AG192&lt;=QUARTILE(Data!AG$4:AG$195,3),3,4)))</f>
        <v>2</v>
      </c>
      <c r="AH192" s="22">
        <f>IF(Data!AH192&lt;=QUARTILE(Data!AH$4:AH$195,1),1,IF(Data!AH192&lt;=MEDIAN(Data!AH$4:AH$195),2,IF(Data!AH192&lt;=QUARTILE(Data!AH$4:AH$195,3),3,4)))</f>
        <v>2</v>
      </c>
      <c r="AI192" s="25">
        <f>IF(Data!AI192&lt;=QUARTILE(Data!AI$4:AI$195,1),1,IF(Data!AI192&lt;=MEDIAN(Data!AI$4:AI$195),2,IF(Data!AI192&lt;=QUARTILE(Data!AI$4:AI$195,3),3,4)))</f>
        <v>1</v>
      </c>
      <c r="AJ192" s="22">
        <f>IF(Data!AJ192&lt;=QUARTILE(Data!AJ$4:AJ$195,1),1,IF(Data!AJ192&lt;=MEDIAN(Data!AJ$4:AJ$195),2,IF(Data!AJ192&lt;=QUARTILE(Data!AJ$4:AJ$195,3),3,4)))</f>
        <v>2</v>
      </c>
      <c r="AK192" s="25">
        <f>IF(Data!AK192&lt;=QUARTILE(Data!AK$4:AK$195,1),1,IF(Data!AK192&lt;=MEDIAN(Data!AK$4:AK$195),2,IF(Data!AK192&lt;=QUARTILE(Data!AK$4:AK$195,3),3,4)))</f>
        <v>4</v>
      </c>
      <c r="AL192" s="28">
        <f>IF(Data!AL192&lt;=QUARTILE(Data!AL$4:AL$195,1),1,IF(Data!AL192&lt;=MEDIAN(Data!AL$4:AL$195),2,IF(Data!AL192&lt;=QUARTILE(Data!AL$4:AL$195,3),3,4)))</f>
        <v>3</v>
      </c>
      <c r="AM192" s="28">
        <f>IF(Data!AM192&lt;=QUARTILE(Data!AM$4:AM$195,1),1,IF(Data!AM192&lt;=MEDIAN(Data!AM$4:AM$195),2,IF(Data!AM192&lt;=QUARTILE(Data!AM$4:AM$195,3),3,4)))</f>
        <v>3</v>
      </c>
      <c r="AN192" s="22">
        <f>IF(Data!AN192&lt;=QUARTILE(Data!AN$4:AN$195,1),1,IF(Data!AN192&lt;=MEDIAN(Data!AN$4:AN$195),2,IF(Data!AN192&lt;=QUARTILE(Data!AN$4:AN$195,3),3,4)))</f>
        <v>3</v>
      </c>
      <c r="AO192" s="28">
        <f>IF(Data!AO192&lt;=QUARTILE(Data!AO$4:AO$195,1),1,IF(Data!AO192&lt;=MEDIAN(Data!AO$4:AO$195),2,IF(Data!AO192&lt;=QUARTILE(Data!AO$4:AO$195,3),3,4)))</f>
        <v>1</v>
      </c>
      <c r="AP192" s="28">
        <f>IF(Data!AP192&lt;=QUARTILE(Data!AP$4:AP$195,1),1,IF(Data!AP192&lt;=MEDIAN(Data!AP$4:AP$195),2,IF(Data!AP192&lt;=QUARTILE(Data!AP$4:AP$195,3),3,4)))</f>
        <v>1</v>
      </c>
      <c r="AQ192" s="28">
        <f>IF(Data!AQ192&lt;=QUARTILE(Data!AQ$4:AQ$195,1),1,IF(Data!AQ192&lt;=MEDIAN(Data!AQ$4:AQ$195),2,IF(Data!AQ192&lt;=QUARTILE(Data!AQ$4:AQ$195,3),3,4)))</f>
        <v>2</v>
      </c>
      <c r="AR192" s="28">
        <f>IF(Data!AR192&lt;=QUARTILE(Data!AR$4:AR$195,1),1,IF(Data!AR192&lt;=MEDIAN(Data!AR$4:AR$195),2,IF(Data!AR192&lt;=QUARTILE(Data!AR$4:AR$195,3),3,4)))</f>
        <v>3</v>
      </c>
      <c r="AS192" s="28">
        <f>IF(Data!AS192&lt;=QUARTILE(Data!AS$4:AS$195,1),1,IF(Data!AS192&lt;=MEDIAN(Data!AS$4:AS$195),2,IF(Data!AS192&lt;=QUARTILE(Data!AS$4:AS$195,3),3,4)))</f>
        <v>2</v>
      </c>
      <c r="AT192" s="28">
        <f>IF(Data!AT192&lt;=QUARTILE(Data!AT$4:AT$195,1),1,IF(Data!AT192&lt;=MEDIAN(Data!AT$4:AT$195),2,IF(Data!AT192&lt;=QUARTILE(Data!AT$4:AT$195,3),3,4)))</f>
        <v>2</v>
      </c>
      <c r="AU192" s="22">
        <f>IF(Data!AU192&lt;=QUARTILE(Data!AU$4:AU$195,1),1,IF(Data!AU192&lt;=MEDIAN(Data!AU$4:AU$195),2,IF(Data!AU192&lt;=QUARTILE(Data!AU$4:AU$195,3),3,4)))</f>
        <v>3</v>
      </c>
      <c r="AV192" s="25">
        <f>IF(Data!AV192&lt;=QUARTILE(Data!AV$4:AV$195,1),1,IF(Data!AV192&lt;=MEDIAN(Data!AV$4:AV$195),2,IF(Data!AV192&lt;=QUARTILE(Data!AV$4:AV$195,3),3,4)))</f>
        <v>4</v>
      </c>
      <c r="AW192" s="28">
        <f>IF(Data!AW192&lt;=QUARTILE(Data!AW$4:AW$195,1),1,IF(Data!AW192&lt;=MEDIAN(Data!AW$4:AW$195),2,IF(Data!AW192&lt;=QUARTILE(Data!AW$4:AW$195,3),3,4)))</f>
        <v>4</v>
      </c>
      <c r="AX192" s="28">
        <f>IF(Data!AX192&lt;=QUARTILE(Data!AX$4:AX$195,1),1,IF(Data!AX192&lt;=MEDIAN(Data!AX$4:AX$195),2,IF(Data!AX192&lt;=QUARTILE(Data!AX$4:AX$195,3),3,4)))</f>
        <v>2</v>
      </c>
      <c r="AY192" s="22">
        <f>IF(Data!AY192&lt;=QUARTILE(Data!AY$4:AY$195,1),1,IF(Data!AY192&lt;=MEDIAN(Data!AY$4:AY$195),2,IF(Data!AY192&lt;=QUARTILE(Data!AY$4:AY$195,3),3,4)))</f>
        <v>4</v>
      </c>
      <c r="AZ192" s="25">
        <f>IF(Data!AZ192&lt;=QUARTILE(Data!AZ$4:AZ$195,1),1,IF(Data!AZ192&lt;=MEDIAN(Data!AZ$4:AZ$195),2,IF(Data!AZ192&lt;=QUARTILE(Data!AZ$4:AZ$195,3),3,4)))</f>
        <v>1</v>
      </c>
      <c r="BA192" s="22">
        <f>IF(Data!BA192&lt;=QUARTILE(Data!BA$4:BA$195,1),1,IF(Data!BA192&lt;=MEDIAN(Data!BA$4:BA$195),2,IF(Data!BA192&lt;=QUARTILE(Data!BA$4:BA$195,3),3,4)))</f>
        <v>1</v>
      </c>
    </row>
    <row r="193" spans="1:53" x14ac:dyDescent="0.25">
      <c r="A193" s="4" t="s">
        <v>30</v>
      </c>
      <c r="B193" s="40">
        <v>2004</v>
      </c>
      <c r="C193" s="25">
        <v>5</v>
      </c>
      <c r="D193" s="28">
        <v>11</v>
      </c>
      <c r="E193" s="77" t="s">
        <v>96</v>
      </c>
      <c r="F193" s="28">
        <v>-2.7</v>
      </c>
      <c r="G193" s="28">
        <v>-4</v>
      </c>
      <c r="H193" s="22">
        <v>1.3</v>
      </c>
      <c r="I193" s="25">
        <f>IF(Data!I193&lt;=QUARTILE(Data!I$4:I$195,1),1,IF(Data!I193&lt;=MEDIAN(Data!I$4:I$195),2,IF(Data!I193&lt;=QUARTILE(Data!I$4:I$195,3),3,4)))</f>
        <v>2</v>
      </c>
      <c r="J193" s="28">
        <f>IF(Data!J193&lt;=QUARTILE(Data!J$4:J$195,1),1,IF(Data!J193&lt;=MEDIAN(Data!J$4:J$195),2,IF(Data!J193&lt;=QUARTILE(Data!J$4:J$195,3),3,4)))</f>
        <v>2</v>
      </c>
      <c r="K193" s="28">
        <f>IF(Data!K193&lt;=QUARTILE(Data!K$4:K$195,1),1,IF(Data!K193&lt;=MEDIAN(Data!K$4:K$195),2,IF(Data!K193&lt;=QUARTILE(Data!K$4:K$195,3),3,4)))</f>
        <v>1</v>
      </c>
      <c r="L193" s="22">
        <f>IF(Data!L193&lt;=QUARTILE(Data!L$4:L$195,1),1,IF(Data!L193&lt;=MEDIAN(Data!L$4:L$195),2,IF(Data!L193&lt;=QUARTILE(Data!L$4:L$195,3),3,4)))</f>
        <v>1</v>
      </c>
      <c r="M193" s="28">
        <f>IF(Data!M193&lt;=QUARTILE(Data!M$4:M$195,1),1,IF(Data!M193&lt;=MEDIAN(Data!M$4:M$195),2,IF(Data!M193&lt;=QUARTILE(Data!M$4:M$195,3),3,4)))</f>
        <v>3</v>
      </c>
      <c r="N193" s="28">
        <f>IF(Data!N193&lt;=QUARTILE(Data!N$4:N$195,1),1,IF(Data!N193&lt;=MEDIAN(Data!N$4:N$195),2,IF(Data!N193&lt;=QUARTILE(Data!N$4:N$195,3),3,4)))</f>
        <v>2</v>
      </c>
      <c r="O193" s="28">
        <f>IF(Data!O193&lt;=QUARTILE(Data!O$4:O$195,1),1,IF(Data!O193&lt;=MEDIAN(Data!O$4:O$195),2,IF(Data!O193&lt;=QUARTILE(Data!O$4:O$195,3),3,4)))</f>
        <v>3</v>
      </c>
      <c r="P193" s="28">
        <f>IF(Data!P193&lt;=QUARTILE(Data!P$4:P$195,1),1,IF(Data!P193&lt;=MEDIAN(Data!P$4:P$195),2,IF(Data!P193&lt;=QUARTILE(Data!P$4:P$195,3),3,4)))</f>
        <v>3</v>
      </c>
      <c r="Q193" s="28">
        <f>IF(Data!Q193&lt;=QUARTILE(Data!Q$4:Q$195,1),1,IF(Data!Q193&lt;=MEDIAN(Data!Q$4:Q$195),2,IF(Data!Q193&lt;=QUARTILE(Data!Q$4:Q$195,3),3,4)))</f>
        <v>3</v>
      </c>
      <c r="R193" s="28">
        <f>IF(Data!R193&lt;=QUARTILE(Data!R$4:R$195,1),1,IF(Data!R193&lt;=MEDIAN(Data!R$4:R$195),2,IF(Data!R193&lt;=QUARTILE(Data!R$4:R$195,3),3,4)))</f>
        <v>3</v>
      </c>
      <c r="S193" s="28">
        <f>IF(Data!S193&lt;=QUARTILE(Data!S$4:S$195,1),1,IF(Data!S193&lt;=MEDIAN(Data!S$4:S$195),2,IF(Data!S193&lt;=QUARTILE(Data!S$4:S$195,3),3,4)))</f>
        <v>3</v>
      </c>
      <c r="T193" s="22">
        <f>IF(Data!T193&lt;=QUARTILE(Data!T$4:T$195,1),1,IF(Data!T193&lt;=MEDIAN(Data!T$4:T$195),2,IF(Data!T193&lt;=QUARTILE(Data!T$4:T$195,3),3,4)))</f>
        <v>4</v>
      </c>
      <c r="U193" s="25">
        <f>IF(Data!U193&lt;=QUARTILE(Data!U$4:U$195,1),1,IF(Data!U193&lt;=MEDIAN(Data!U$4:U$195),2,IF(Data!U193&lt;=QUARTILE(Data!U$4:U$195,3),3,4)))</f>
        <v>1</v>
      </c>
      <c r="V193" s="28">
        <f>IF(Data!V193&lt;=QUARTILE(Data!V$4:V$195,1),1,IF(Data!V193&lt;=MEDIAN(Data!V$4:V$195),2,IF(Data!V193&lt;=QUARTILE(Data!V$4:V$195,3),3,4)))</f>
        <v>1</v>
      </c>
      <c r="W193" s="28">
        <f>IF(Data!W193&lt;=QUARTILE(Data!W$4:W$195,1),1,IF(Data!W193&lt;=MEDIAN(Data!W$4:W$195),2,IF(Data!W193&lt;=QUARTILE(Data!W$4:W$195,3),3,4)))</f>
        <v>1</v>
      </c>
      <c r="X193" s="22">
        <f>IF(Data!X193&lt;=QUARTILE(Data!X$4:X$195,1),1,IF(Data!X193&lt;=MEDIAN(Data!X$4:X$195),2,IF(Data!X193&lt;=QUARTILE(Data!X$4:X$195,3),3,4)))</f>
        <v>1</v>
      </c>
      <c r="Y193" s="33">
        <f>IF(Data!Y193&lt;=QUARTILE(Data!Y$4:Y$195,1),1,IF(Data!Y193&lt;=MEDIAN(Data!Y$4:Y$195),2,IF(Data!Y193&lt;=QUARTILE(Data!Y$4:Y$195,3),3,4)))</f>
        <v>3</v>
      </c>
      <c r="Z193" s="34">
        <f>IF(Data!Z193&lt;=QUARTILE(Data!Z$4:Z$195,1),1,IF(Data!Z193&lt;=MEDIAN(Data!Z$4:Z$195),2,IF(Data!Z193&lt;=QUARTILE(Data!Z$4:Z$195,3),3,4)))</f>
        <v>4</v>
      </c>
      <c r="AA193" s="25">
        <f>IF(Data!AA193&lt;=QUARTILE(Data!AA$4:AA$195,1),1,IF(Data!AA193&lt;=MEDIAN(Data!AA$4:AA$195),2,IF(Data!AA193&lt;=QUARTILE(Data!AA$4:AA$195,3),3,4)))</f>
        <v>2</v>
      </c>
      <c r="AB193" s="22">
        <f>IF(Data!AB193&lt;=QUARTILE(Data!AB$4:AB$195,1),1,IF(Data!AB193&lt;=MEDIAN(Data!AB$4:AB$195),2,IF(Data!AB193&lt;=QUARTILE(Data!AB$4:AB$195,3),3,4)))</f>
        <v>1</v>
      </c>
      <c r="AC193" s="25">
        <f>IF(Data!AC193&lt;=QUARTILE(Data!AC$4:AC$195,1),1,IF(Data!AC193&lt;=MEDIAN(Data!AC$4:AC$195),2,IF(Data!AC193&lt;=QUARTILE(Data!AC$4:AC$195,3),3,4)))</f>
        <v>2</v>
      </c>
      <c r="AD193" s="22">
        <f>IF(Data!AD193&lt;=QUARTILE(Data!AD$4:AD$195,1),1,IF(Data!AD193&lt;=MEDIAN(Data!AD$4:AD$195),2,IF(Data!AD193&lt;=QUARTILE(Data!AD$4:AD$195,3),3,4)))</f>
        <v>2</v>
      </c>
      <c r="AE193" s="28">
        <f>IF(Data!AE193&lt;=QUARTILE(Data!AE$4:AE$195,1),1,IF(Data!AE193&lt;=MEDIAN(Data!AE$4:AE$195),2,IF(Data!AE193&lt;=QUARTILE(Data!AE$4:AE$195,3),3,4)))</f>
        <v>2</v>
      </c>
      <c r="AF193" s="28">
        <f>IF(Data!AF193&lt;=QUARTILE(Data!AF$4:AF$195,1),1,IF(Data!AF193&lt;=MEDIAN(Data!AF$4:AF$195),2,IF(Data!AF193&lt;=QUARTILE(Data!AF$4:AF$195,3),3,4)))</f>
        <v>1</v>
      </c>
      <c r="AG193" s="28">
        <f>IF(Data!AG193&lt;=QUARTILE(Data!AG$4:AG$195,1),1,IF(Data!AG193&lt;=MEDIAN(Data!AG$4:AG$195),2,IF(Data!AG193&lt;=QUARTILE(Data!AG$4:AG$195,3),3,4)))</f>
        <v>1</v>
      </c>
      <c r="AH193" s="22">
        <f>IF(Data!AH193&lt;=QUARTILE(Data!AH$4:AH$195,1),1,IF(Data!AH193&lt;=MEDIAN(Data!AH$4:AH$195),2,IF(Data!AH193&lt;=QUARTILE(Data!AH$4:AH$195,3),3,4)))</f>
        <v>1</v>
      </c>
      <c r="AI193" s="25">
        <f>IF(Data!AI193&lt;=QUARTILE(Data!AI$4:AI$195,1),1,IF(Data!AI193&lt;=MEDIAN(Data!AI$4:AI$195),2,IF(Data!AI193&lt;=QUARTILE(Data!AI$4:AI$195,3),3,4)))</f>
        <v>3</v>
      </c>
      <c r="AJ193" s="22">
        <f>IF(Data!AJ193&lt;=QUARTILE(Data!AJ$4:AJ$195,1),1,IF(Data!AJ193&lt;=MEDIAN(Data!AJ$4:AJ$195),2,IF(Data!AJ193&lt;=QUARTILE(Data!AJ$4:AJ$195,3),3,4)))</f>
        <v>3</v>
      </c>
      <c r="AK193" s="25">
        <f>IF(Data!AK193&lt;=QUARTILE(Data!AK$4:AK$195,1),1,IF(Data!AK193&lt;=MEDIAN(Data!AK$4:AK$195),2,IF(Data!AK193&lt;=QUARTILE(Data!AK$4:AK$195,3),3,4)))</f>
        <v>2</v>
      </c>
      <c r="AL193" s="28">
        <f>IF(Data!AL193&lt;=QUARTILE(Data!AL$4:AL$195,1),1,IF(Data!AL193&lt;=MEDIAN(Data!AL$4:AL$195),2,IF(Data!AL193&lt;=QUARTILE(Data!AL$4:AL$195,3),3,4)))</f>
        <v>1</v>
      </c>
      <c r="AM193" s="28">
        <f>IF(Data!AM193&lt;=QUARTILE(Data!AM$4:AM$195,1),1,IF(Data!AM193&lt;=MEDIAN(Data!AM$4:AM$195),2,IF(Data!AM193&lt;=QUARTILE(Data!AM$4:AM$195,3),3,4)))</f>
        <v>1</v>
      </c>
      <c r="AN193" s="22">
        <f>IF(Data!AN193&lt;=QUARTILE(Data!AN$4:AN$195,1),1,IF(Data!AN193&lt;=MEDIAN(Data!AN$4:AN$195),2,IF(Data!AN193&lt;=QUARTILE(Data!AN$4:AN$195,3),3,4)))</f>
        <v>1</v>
      </c>
      <c r="AO193" s="28">
        <f>IF(Data!AO193&lt;=QUARTILE(Data!AO$4:AO$195,1),1,IF(Data!AO193&lt;=MEDIAN(Data!AO$4:AO$195),2,IF(Data!AO193&lt;=QUARTILE(Data!AO$4:AO$195,3),3,4)))</f>
        <v>1</v>
      </c>
      <c r="AP193" s="28">
        <f>IF(Data!AP193&lt;=QUARTILE(Data!AP$4:AP$195,1),1,IF(Data!AP193&lt;=MEDIAN(Data!AP$4:AP$195),2,IF(Data!AP193&lt;=QUARTILE(Data!AP$4:AP$195,3),3,4)))</f>
        <v>1</v>
      </c>
      <c r="AQ193" s="28">
        <f>IF(Data!AQ193&lt;=QUARTILE(Data!AQ$4:AQ$195,1),1,IF(Data!AQ193&lt;=MEDIAN(Data!AQ$4:AQ$195),2,IF(Data!AQ193&lt;=QUARTILE(Data!AQ$4:AQ$195,3),3,4)))</f>
        <v>1</v>
      </c>
      <c r="AR193" s="28">
        <f>IF(Data!AR193&lt;=QUARTILE(Data!AR$4:AR$195,1),1,IF(Data!AR193&lt;=MEDIAN(Data!AR$4:AR$195),2,IF(Data!AR193&lt;=QUARTILE(Data!AR$4:AR$195,3),3,4)))</f>
        <v>2</v>
      </c>
      <c r="AS193" s="28">
        <f>IF(Data!AS193&lt;=QUARTILE(Data!AS$4:AS$195,1),1,IF(Data!AS193&lt;=MEDIAN(Data!AS$4:AS$195),2,IF(Data!AS193&lt;=QUARTILE(Data!AS$4:AS$195,3),3,4)))</f>
        <v>1</v>
      </c>
      <c r="AT193" s="28">
        <f>IF(Data!AT193&lt;=QUARTILE(Data!AT$4:AT$195,1),1,IF(Data!AT193&lt;=MEDIAN(Data!AT$4:AT$195),2,IF(Data!AT193&lt;=QUARTILE(Data!AT$4:AT$195,3),3,4)))</f>
        <v>4</v>
      </c>
      <c r="AU193" s="22">
        <f>IF(Data!AU193&lt;=QUARTILE(Data!AU$4:AU$195,1),1,IF(Data!AU193&lt;=MEDIAN(Data!AU$4:AU$195),2,IF(Data!AU193&lt;=QUARTILE(Data!AU$4:AU$195,3),3,4)))</f>
        <v>4</v>
      </c>
      <c r="AV193" s="25">
        <f>IF(Data!AV193&lt;=QUARTILE(Data!AV$4:AV$195,1),1,IF(Data!AV193&lt;=MEDIAN(Data!AV$4:AV$195),2,IF(Data!AV193&lt;=QUARTILE(Data!AV$4:AV$195,3),3,4)))</f>
        <v>4</v>
      </c>
      <c r="AW193" s="28">
        <f>IF(Data!AW193&lt;=QUARTILE(Data!AW$4:AW$195,1),1,IF(Data!AW193&lt;=MEDIAN(Data!AW$4:AW$195),2,IF(Data!AW193&lt;=QUARTILE(Data!AW$4:AW$195,3),3,4)))</f>
        <v>3</v>
      </c>
      <c r="AX193" s="28">
        <f>IF(Data!AX193&lt;=QUARTILE(Data!AX$4:AX$195,1),1,IF(Data!AX193&lt;=MEDIAN(Data!AX$4:AX$195),2,IF(Data!AX193&lt;=QUARTILE(Data!AX$4:AX$195,3),3,4)))</f>
        <v>1</v>
      </c>
      <c r="AY193" s="22">
        <f>IF(Data!AY193&lt;=QUARTILE(Data!AY$4:AY$195,1),1,IF(Data!AY193&lt;=MEDIAN(Data!AY$4:AY$195),2,IF(Data!AY193&lt;=QUARTILE(Data!AY$4:AY$195,3),3,4)))</f>
        <v>3</v>
      </c>
      <c r="AZ193" s="25">
        <f>IF(Data!AZ193&lt;=QUARTILE(Data!AZ$4:AZ$195,1),1,IF(Data!AZ193&lt;=MEDIAN(Data!AZ$4:AZ$195),2,IF(Data!AZ193&lt;=QUARTILE(Data!AZ$4:AZ$195,3),3,4)))</f>
        <v>2</v>
      </c>
      <c r="BA193" s="22">
        <f>IF(Data!BA193&lt;=QUARTILE(Data!BA$4:BA$195,1),1,IF(Data!BA193&lt;=MEDIAN(Data!BA$4:BA$195),2,IF(Data!BA193&lt;=QUARTILE(Data!BA$4:BA$195,3),3,4)))</f>
        <v>2</v>
      </c>
    </row>
    <row r="194" spans="1:53" x14ac:dyDescent="0.25">
      <c r="A194" s="4" t="s">
        <v>13</v>
      </c>
      <c r="B194" s="40">
        <v>2004</v>
      </c>
      <c r="C194" s="25">
        <v>5</v>
      </c>
      <c r="D194" s="28">
        <v>11</v>
      </c>
      <c r="E194" s="77" t="s">
        <v>96</v>
      </c>
      <c r="F194" s="28">
        <v>-4.4000000000000004</v>
      </c>
      <c r="G194" s="28">
        <v>0.3</v>
      </c>
      <c r="H194" s="22">
        <v>-4.5999999999999996</v>
      </c>
      <c r="I194" s="25">
        <f>IF(Data!I194&lt;=QUARTILE(Data!I$4:I$195,1),1,IF(Data!I194&lt;=MEDIAN(Data!I$4:I$195),2,IF(Data!I194&lt;=QUARTILE(Data!I$4:I$195,3),3,4)))</f>
        <v>3</v>
      </c>
      <c r="J194" s="28">
        <f>IF(Data!J194&lt;=QUARTILE(Data!J$4:J$195,1),1,IF(Data!J194&lt;=MEDIAN(Data!J$4:J$195),2,IF(Data!J194&lt;=QUARTILE(Data!J$4:J$195,3),3,4)))</f>
        <v>3</v>
      </c>
      <c r="K194" s="28">
        <f>IF(Data!K194&lt;=QUARTILE(Data!K$4:K$195,1),1,IF(Data!K194&lt;=MEDIAN(Data!K$4:K$195),2,IF(Data!K194&lt;=QUARTILE(Data!K$4:K$195,3),3,4)))</f>
        <v>4</v>
      </c>
      <c r="L194" s="22">
        <f>IF(Data!L194&lt;=QUARTILE(Data!L$4:L$195,1),1,IF(Data!L194&lt;=MEDIAN(Data!L$4:L$195),2,IF(Data!L194&lt;=QUARTILE(Data!L$4:L$195,3),3,4)))</f>
        <v>3</v>
      </c>
      <c r="M194" s="28">
        <f>IF(Data!M194&lt;=QUARTILE(Data!M$4:M$195,1),1,IF(Data!M194&lt;=MEDIAN(Data!M$4:M$195),2,IF(Data!M194&lt;=QUARTILE(Data!M$4:M$195,3),3,4)))</f>
        <v>4</v>
      </c>
      <c r="N194" s="28">
        <f>IF(Data!N194&lt;=QUARTILE(Data!N$4:N$195,1),1,IF(Data!N194&lt;=MEDIAN(Data!N$4:N$195),2,IF(Data!N194&lt;=QUARTILE(Data!N$4:N$195,3),3,4)))</f>
        <v>4</v>
      </c>
      <c r="O194" s="28">
        <f>IF(Data!O194&lt;=QUARTILE(Data!O$4:O$195,1),1,IF(Data!O194&lt;=MEDIAN(Data!O$4:O$195),2,IF(Data!O194&lt;=QUARTILE(Data!O$4:O$195,3),3,4)))</f>
        <v>3</v>
      </c>
      <c r="P194" s="28">
        <f>IF(Data!P194&lt;=QUARTILE(Data!P$4:P$195,1),1,IF(Data!P194&lt;=MEDIAN(Data!P$4:P$195),2,IF(Data!P194&lt;=QUARTILE(Data!P$4:P$195,3),3,4)))</f>
        <v>4</v>
      </c>
      <c r="Q194" s="28">
        <f>IF(Data!Q194&lt;=QUARTILE(Data!Q$4:Q$195,1),1,IF(Data!Q194&lt;=MEDIAN(Data!Q$4:Q$195),2,IF(Data!Q194&lt;=QUARTILE(Data!Q$4:Q$195,3),3,4)))</f>
        <v>4</v>
      </c>
      <c r="R194" s="28">
        <f>IF(Data!R194&lt;=QUARTILE(Data!R$4:R$195,1),1,IF(Data!R194&lt;=MEDIAN(Data!R$4:R$195),2,IF(Data!R194&lt;=QUARTILE(Data!R$4:R$195,3),3,4)))</f>
        <v>3</v>
      </c>
      <c r="S194" s="28">
        <f>IF(Data!S194&lt;=QUARTILE(Data!S$4:S$195,1),1,IF(Data!S194&lt;=MEDIAN(Data!S$4:S$195),2,IF(Data!S194&lt;=QUARTILE(Data!S$4:S$195,3),3,4)))</f>
        <v>3</v>
      </c>
      <c r="T194" s="22">
        <f>IF(Data!T194&lt;=QUARTILE(Data!T$4:T$195,1),1,IF(Data!T194&lt;=MEDIAN(Data!T$4:T$195),2,IF(Data!T194&lt;=QUARTILE(Data!T$4:T$195,3),3,4)))</f>
        <v>4</v>
      </c>
      <c r="U194" s="25">
        <f>IF(Data!U194&lt;=QUARTILE(Data!U$4:U$195,1),1,IF(Data!U194&lt;=MEDIAN(Data!U$4:U$195),2,IF(Data!U194&lt;=QUARTILE(Data!U$4:U$195,3),3,4)))</f>
        <v>2</v>
      </c>
      <c r="V194" s="28">
        <f>IF(Data!V194&lt;=QUARTILE(Data!V$4:V$195,1),1,IF(Data!V194&lt;=MEDIAN(Data!V$4:V$195),2,IF(Data!V194&lt;=QUARTILE(Data!V$4:V$195,3),3,4)))</f>
        <v>3</v>
      </c>
      <c r="W194" s="28">
        <f>IF(Data!W194&lt;=QUARTILE(Data!W$4:W$195,1),1,IF(Data!W194&lt;=MEDIAN(Data!W$4:W$195),2,IF(Data!W194&lt;=QUARTILE(Data!W$4:W$195,3),3,4)))</f>
        <v>2</v>
      </c>
      <c r="X194" s="22">
        <f>IF(Data!X194&lt;=QUARTILE(Data!X$4:X$195,1),1,IF(Data!X194&lt;=MEDIAN(Data!X$4:X$195),2,IF(Data!X194&lt;=QUARTILE(Data!X$4:X$195,3),3,4)))</f>
        <v>2</v>
      </c>
      <c r="Y194" s="33">
        <f>IF(Data!Y194&lt;=QUARTILE(Data!Y$4:Y$195,1),1,IF(Data!Y194&lt;=MEDIAN(Data!Y$4:Y$195),2,IF(Data!Y194&lt;=QUARTILE(Data!Y$4:Y$195,3),3,4)))</f>
        <v>3</v>
      </c>
      <c r="Z194" s="34">
        <f>IF(Data!Z194&lt;=QUARTILE(Data!Z$4:Z$195,1),1,IF(Data!Z194&lt;=MEDIAN(Data!Z$4:Z$195),2,IF(Data!Z194&lt;=QUARTILE(Data!Z$4:Z$195,3),3,4)))</f>
        <v>2</v>
      </c>
      <c r="AA194" s="25">
        <f>IF(Data!AA194&lt;=QUARTILE(Data!AA$4:AA$195,1),1,IF(Data!AA194&lt;=MEDIAN(Data!AA$4:AA$195),2,IF(Data!AA194&lt;=QUARTILE(Data!AA$4:AA$195,3),3,4)))</f>
        <v>3</v>
      </c>
      <c r="AB194" s="22">
        <f>IF(Data!AB194&lt;=QUARTILE(Data!AB$4:AB$195,1),1,IF(Data!AB194&lt;=MEDIAN(Data!AB$4:AB$195),2,IF(Data!AB194&lt;=QUARTILE(Data!AB$4:AB$195,3),3,4)))</f>
        <v>1</v>
      </c>
      <c r="AC194" s="25">
        <f>IF(Data!AC194&lt;=QUARTILE(Data!AC$4:AC$195,1),1,IF(Data!AC194&lt;=MEDIAN(Data!AC$4:AC$195),2,IF(Data!AC194&lt;=QUARTILE(Data!AC$4:AC$195,3),3,4)))</f>
        <v>4</v>
      </c>
      <c r="AD194" s="22">
        <f>IF(Data!AD194&lt;=QUARTILE(Data!AD$4:AD$195,1),1,IF(Data!AD194&lt;=MEDIAN(Data!AD$4:AD$195),2,IF(Data!AD194&lt;=QUARTILE(Data!AD$4:AD$195,3),3,4)))</f>
        <v>3</v>
      </c>
      <c r="AE194" s="28">
        <f>IF(Data!AE194&lt;=QUARTILE(Data!AE$4:AE$195,1),1,IF(Data!AE194&lt;=MEDIAN(Data!AE$4:AE$195),2,IF(Data!AE194&lt;=QUARTILE(Data!AE$4:AE$195,3),3,4)))</f>
        <v>1</v>
      </c>
      <c r="AF194" s="28">
        <f>IF(Data!AF194&lt;=QUARTILE(Data!AF$4:AF$195,1),1,IF(Data!AF194&lt;=MEDIAN(Data!AF$4:AF$195),2,IF(Data!AF194&lt;=QUARTILE(Data!AF$4:AF$195,3),3,4)))</f>
        <v>1</v>
      </c>
      <c r="AG194" s="28">
        <f>IF(Data!AG194&lt;=QUARTILE(Data!AG$4:AG$195,1),1,IF(Data!AG194&lt;=MEDIAN(Data!AG$4:AG$195),2,IF(Data!AG194&lt;=QUARTILE(Data!AG$4:AG$195,3),3,4)))</f>
        <v>4</v>
      </c>
      <c r="AH194" s="22">
        <f>IF(Data!AH194&lt;=QUARTILE(Data!AH$4:AH$195,1),1,IF(Data!AH194&lt;=MEDIAN(Data!AH$4:AH$195),2,IF(Data!AH194&lt;=QUARTILE(Data!AH$4:AH$195,3),3,4)))</f>
        <v>3</v>
      </c>
      <c r="AI194" s="25">
        <f>IF(Data!AI194&lt;=QUARTILE(Data!AI$4:AI$195,1),1,IF(Data!AI194&lt;=MEDIAN(Data!AI$4:AI$195),2,IF(Data!AI194&lt;=QUARTILE(Data!AI$4:AI$195,3),3,4)))</f>
        <v>3</v>
      </c>
      <c r="AJ194" s="22">
        <f>IF(Data!AJ194&lt;=QUARTILE(Data!AJ$4:AJ$195,1),1,IF(Data!AJ194&lt;=MEDIAN(Data!AJ$4:AJ$195),2,IF(Data!AJ194&lt;=QUARTILE(Data!AJ$4:AJ$195,3),3,4)))</f>
        <v>3</v>
      </c>
      <c r="AK194" s="25">
        <f>IF(Data!AK194&lt;=QUARTILE(Data!AK$4:AK$195,1),1,IF(Data!AK194&lt;=MEDIAN(Data!AK$4:AK$195),2,IF(Data!AK194&lt;=QUARTILE(Data!AK$4:AK$195,3),3,4)))</f>
        <v>4</v>
      </c>
      <c r="AL194" s="28">
        <f>IF(Data!AL194&lt;=QUARTILE(Data!AL$4:AL$195,1),1,IF(Data!AL194&lt;=MEDIAN(Data!AL$4:AL$195),2,IF(Data!AL194&lt;=QUARTILE(Data!AL$4:AL$195,3),3,4)))</f>
        <v>4</v>
      </c>
      <c r="AM194" s="28">
        <f>IF(Data!AM194&lt;=QUARTILE(Data!AM$4:AM$195,1),1,IF(Data!AM194&lt;=MEDIAN(Data!AM$4:AM$195),2,IF(Data!AM194&lt;=QUARTILE(Data!AM$4:AM$195,3),3,4)))</f>
        <v>2</v>
      </c>
      <c r="AN194" s="22">
        <f>IF(Data!AN194&lt;=QUARTILE(Data!AN$4:AN$195,1),1,IF(Data!AN194&lt;=MEDIAN(Data!AN$4:AN$195),2,IF(Data!AN194&lt;=QUARTILE(Data!AN$4:AN$195,3),3,4)))</f>
        <v>4</v>
      </c>
      <c r="AO194" s="28">
        <f>IF(Data!AO194&lt;=QUARTILE(Data!AO$4:AO$195,1),1,IF(Data!AO194&lt;=MEDIAN(Data!AO$4:AO$195),2,IF(Data!AO194&lt;=QUARTILE(Data!AO$4:AO$195,3),3,4)))</f>
        <v>3</v>
      </c>
      <c r="AP194" s="28">
        <f>IF(Data!AP194&lt;=QUARTILE(Data!AP$4:AP$195,1),1,IF(Data!AP194&lt;=MEDIAN(Data!AP$4:AP$195),2,IF(Data!AP194&lt;=QUARTILE(Data!AP$4:AP$195,3),3,4)))</f>
        <v>3</v>
      </c>
      <c r="AQ194" s="28">
        <f>IF(Data!AQ194&lt;=QUARTILE(Data!AQ$4:AQ$195,1),1,IF(Data!AQ194&lt;=MEDIAN(Data!AQ$4:AQ$195),2,IF(Data!AQ194&lt;=QUARTILE(Data!AQ$4:AQ$195,3),3,4)))</f>
        <v>4</v>
      </c>
      <c r="AR194" s="28">
        <f>IF(Data!AR194&lt;=QUARTILE(Data!AR$4:AR$195,1),1,IF(Data!AR194&lt;=MEDIAN(Data!AR$4:AR$195),2,IF(Data!AR194&lt;=QUARTILE(Data!AR$4:AR$195,3),3,4)))</f>
        <v>4</v>
      </c>
      <c r="AS194" s="28">
        <f>IF(Data!AS194&lt;=QUARTILE(Data!AS$4:AS$195,1),1,IF(Data!AS194&lt;=MEDIAN(Data!AS$4:AS$195),2,IF(Data!AS194&lt;=QUARTILE(Data!AS$4:AS$195,3),3,4)))</f>
        <v>4</v>
      </c>
      <c r="AT194" s="28">
        <f>IF(Data!AT194&lt;=QUARTILE(Data!AT$4:AT$195,1),1,IF(Data!AT194&lt;=MEDIAN(Data!AT$4:AT$195),2,IF(Data!AT194&lt;=QUARTILE(Data!AT$4:AT$195,3),3,4)))</f>
        <v>2</v>
      </c>
      <c r="AU194" s="22">
        <f>IF(Data!AU194&lt;=QUARTILE(Data!AU$4:AU$195,1),1,IF(Data!AU194&lt;=MEDIAN(Data!AU$4:AU$195),2,IF(Data!AU194&lt;=QUARTILE(Data!AU$4:AU$195,3),3,4)))</f>
        <v>2</v>
      </c>
      <c r="AV194" s="25">
        <f>IF(Data!AV194&lt;=QUARTILE(Data!AV$4:AV$195,1),1,IF(Data!AV194&lt;=MEDIAN(Data!AV$4:AV$195),2,IF(Data!AV194&lt;=QUARTILE(Data!AV$4:AV$195,3),3,4)))</f>
        <v>2</v>
      </c>
      <c r="AW194" s="28">
        <f>IF(Data!AW194&lt;=QUARTILE(Data!AW$4:AW$195,1),1,IF(Data!AW194&lt;=MEDIAN(Data!AW$4:AW$195),2,IF(Data!AW194&lt;=QUARTILE(Data!AW$4:AW$195,3),3,4)))</f>
        <v>3</v>
      </c>
      <c r="AX194" s="28">
        <f>IF(Data!AX194&lt;=QUARTILE(Data!AX$4:AX$195,1),1,IF(Data!AX194&lt;=MEDIAN(Data!AX$4:AX$195),2,IF(Data!AX194&lt;=QUARTILE(Data!AX$4:AX$195,3),3,4)))</f>
        <v>4</v>
      </c>
      <c r="AY194" s="22">
        <f>IF(Data!AY194&lt;=QUARTILE(Data!AY$4:AY$195,1),1,IF(Data!AY194&lt;=MEDIAN(Data!AY$4:AY$195),2,IF(Data!AY194&lt;=QUARTILE(Data!AY$4:AY$195,3),3,4)))</f>
        <v>3</v>
      </c>
      <c r="AZ194" s="25">
        <f>IF(Data!AZ194&lt;=QUARTILE(Data!AZ$4:AZ$195,1),1,IF(Data!AZ194&lt;=MEDIAN(Data!AZ$4:AZ$195),2,IF(Data!AZ194&lt;=QUARTILE(Data!AZ$4:AZ$195,3),3,4)))</f>
        <v>3</v>
      </c>
      <c r="BA194" s="22">
        <f>IF(Data!BA194&lt;=QUARTILE(Data!BA$4:BA$195,1),1,IF(Data!BA194&lt;=MEDIAN(Data!BA$4:BA$195),2,IF(Data!BA194&lt;=QUARTILE(Data!BA$4:BA$195,3),3,4)))</f>
        <v>3</v>
      </c>
    </row>
    <row r="195" spans="1:53" ht="15.75" thickBot="1" x14ac:dyDescent="0.3">
      <c r="A195" s="6" t="s">
        <v>22</v>
      </c>
      <c r="B195" s="41">
        <v>2004</v>
      </c>
      <c r="C195" s="26">
        <v>6</v>
      </c>
      <c r="D195" s="29">
        <v>10</v>
      </c>
      <c r="E195" s="78" t="s">
        <v>96</v>
      </c>
      <c r="F195" s="29">
        <v>-3.4</v>
      </c>
      <c r="G195" s="29">
        <v>-7.4</v>
      </c>
      <c r="H195" s="23">
        <v>4</v>
      </c>
      <c r="I195" s="26">
        <f>IF(Data!I195&lt;=QUARTILE(Data!I$4:I$195,1),1,IF(Data!I195&lt;=MEDIAN(Data!I$4:I$195),2,IF(Data!I195&lt;=QUARTILE(Data!I$4:I$195,3),3,4)))</f>
        <v>1</v>
      </c>
      <c r="J195" s="29">
        <f>IF(Data!J195&lt;=QUARTILE(Data!J$4:J$195,1),1,IF(Data!J195&lt;=MEDIAN(Data!J$4:J$195),2,IF(Data!J195&lt;=QUARTILE(Data!J$4:J$195,3),3,4)))</f>
        <v>1</v>
      </c>
      <c r="K195" s="29">
        <f>IF(Data!K195&lt;=QUARTILE(Data!K$4:K$195,1),1,IF(Data!K195&lt;=MEDIAN(Data!K$4:K$195),2,IF(Data!K195&lt;=QUARTILE(Data!K$4:K$195,3),3,4)))</f>
        <v>3</v>
      </c>
      <c r="L195" s="23">
        <f>IF(Data!L195&lt;=QUARTILE(Data!L$4:L$195,1),1,IF(Data!L195&lt;=MEDIAN(Data!L$4:L$195),2,IF(Data!L195&lt;=QUARTILE(Data!L$4:L$195,3),3,4)))</f>
        <v>1</v>
      </c>
      <c r="M195" s="29">
        <f>IF(Data!M195&lt;=QUARTILE(Data!M$4:M$195,1),1,IF(Data!M195&lt;=MEDIAN(Data!M$4:M$195),2,IF(Data!M195&lt;=QUARTILE(Data!M$4:M$195,3),3,4)))</f>
        <v>2</v>
      </c>
      <c r="N195" s="29">
        <f>IF(Data!N195&lt;=QUARTILE(Data!N$4:N$195,1),1,IF(Data!N195&lt;=MEDIAN(Data!N$4:N$195),2,IF(Data!N195&lt;=QUARTILE(Data!N$4:N$195,3),3,4)))</f>
        <v>2</v>
      </c>
      <c r="O195" s="29">
        <f>IF(Data!O195&lt;=QUARTILE(Data!O$4:O$195,1),1,IF(Data!O195&lt;=MEDIAN(Data!O$4:O$195),2,IF(Data!O195&lt;=QUARTILE(Data!O$4:O$195,3),3,4)))</f>
        <v>1</v>
      </c>
      <c r="P195" s="29">
        <f>IF(Data!P195&lt;=QUARTILE(Data!P$4:P$195,1),1,IF(Data!P195&lt;=MEDIAN(Data!P$4:P$195),2,IF(Data!P195&lt;=QUARTILE(Data!P$4:P$195,3),3,4)))</f>
        <v>2</v>
      </c>
      <c r="Q195" s="29">
        <f>IF(Data!Q195&lt;=QUARTILE(Data!Q$4:Q$195,1),1,IF(Data!Q195&lt;=MEDIAN(Data!Q$4:Q$195),2,IF(Data!Q195&lt;=QUARTILE(Data!Q$4:Q$195,3),3,4)))</f>
        <v>2</v>
      </c>
      <c r="R195" s="29">
        <f>IF(Data!R195&lt;=QUARTILE(Data!R$4:R$195,1),1,IF(Data!R195&lt;=MEDIAN(Data!R$4:R$195),2,IF(Data!R195&lt;=QUARTILE(Data!R$4:R$195,3),3,4)))</f>
        <v>1</v>
      </c>
      <c r="S195" s="29">
        <f>IF(Data!S195&lt;=QUARTILE(Data!S$4:S$195,1),1,IF(Data!S195&lt;=MEDIAN(Data!S$4:S$195),2,IF(Data!S195&lt;=QUARTILE(Data!S$4:S$195,3),3,4)))</f>
        <v>3</v>
      </c>
      <c r="T195" s="23">
        <f>IF(Data!T195&lt;=QUARTILE(Data!T$4:T$195,1),1,IF(Data!T195&lt;=MEDIAN(Data!T$4:T$195),2,IF(Data!T195&lt;=QUARTILE(Data!T$4:T$195,3),3,4)))</f>
        <v>3</v>
      </c>
      <c r="U195" s="26">
        <f>IF(Data!U195&lt;=QUARTILE(Data!U$4:U$195,1),1,IF(Data!U195&lt;=MEDIAN(Data!U$4:U$195),2,IF(Data!U195&lt;=QUARTILE(Data!U$4:U$195,3),3,4)))</f>
        <v>3</v>
      </c>
      <c r="V195" s="29">
        <f>IF(Data!V195&lt;=QUARTILE(Data!V$4:V$195,1),1,IF(Data!V195&lt;=MEDIAN(Data!V$4:V$195),2,IF(Data!V195&lt;=QUARTILE(Data!V$4:V$195,3),3,4)))</f>
        <v>2</v>
      </c>
      <c r="W195" s="29">
        <f>IF(Data!W195&lt;=QUARTILE(Data!W$4:W$195,1),1,IF(Data!W195&lt;=MEDIAN(Data!W$4:W$195),2,IF(Data!W195&lt;=QUARTILE(Data!W$4:W$195,3),3,4)))</f>
        <v>1</v>
      </c>
      <c r="X195" s="23">
        <f>IF(Data!X195&lt;=QUARTILE(Data!X$4:X$195,1),1,IF(Data!X195&lt;=MEDIAN(Data!X$4:X$195),2,IF(Data!X195&lt;=QUARTILE(Data!X$4:X$195,3),3,4)))</f>
        <v>2</v>
      </c>
      <c r="Y195" s="35">
        <f>IF(Data!Y195&lt;=QUARTILE(Data!Y$4:Y$195,1),1,IF(Data!Y195&lt;=MEDIAN(Data!Y$4:Y$195),2,IF(Data!Y195&lt;=QUARTILE(Data!Y$4:Y$195,3),3,4)))</f>
        <v>3</v>
      </c>
      <c r="Z195" s="36">
        <f>IF(Data!Z195&lt;=QUARTILE(Data!Z$4:Z$195,1),1,IF(Data!Z195&lt;=MEDIAN(Data!Z$4:Z$195),2,IF(Data!Z195&lt;=QUARTILE(Data!Z$4:Z$195,3),3,4)))</f>
        <v>1</v>
      </c>
      <c r="AA195" s="26">
        <f>IF(Data!AA195&lt;=QUARTILE(Data!AA$4:AA$195,1),1,IF(Data!AA195&lt;=MEDIAN(Data!AA$4:AA$195),2,IF(Data!AA195&lt;=QUARTILE(Data!AA$4:AA$195,3),3,4)))</f>
        <v>3</v>
      </c>
      <c r="AB195" s="23">
        <f>IF(Data!AB195&lt;=QUARTILE(Data!AB$4:AB$195,1),1,IF(Data!AB195&lt;=MEDIAN(Data!AB$4:AB$195),2,IF(Data!AB195&lt;=QUARTILE(Data!AB$4:AB$195,3),3,4)))</f>
        <v>3</v>
      </c>
      <c r="AC195" s="26">
        <f>IF(Data!AC195&lt;=QUARTILE(Data!AC$4:AC$195,1),1,IF(Data!AC195&lt;=MEDIAN(Data!AC$4:AC$195),2,IF(Data!AC195&lt;=QUARTILE(Data!AC$4:AC$195,3),3,4)))</f>
        <v>1</v>
      </c>
      <c r="AD195" s="23">
        <f>IF(Data!AD195&lt;=QUARTILE(Data!AD$4:AD$195,1),1,IF(Data!AD195&lt;=MEDIAN(Data!AD$4:AD$195),2,IF(Data!AD195&lt;=QUARTILE(Data!AD$4:AD$195,3),3,4)))</f>
        <v>1</v>
      </c>
      <c r="AE195" s="29">
        <f>IF(Data!AE195&lt;=QUARTILE(Data!AE$4:AE$195,1),1,IF(Data!AE195&lt;=MEDIAN(Data!AE$4:AE$195),2,IF(Data!AE195&lt;=QUARTILE(Data!AE$4:AE$195,3),3,4)))</f>
        <v>2</v>
      </c>
      <c r="AF195" s="29">
        <f>IF(Data!AF195&lt;=QUARTILE(Data!AF$4:AF$195,1),1,IF(Data!AF195&lt;=MEDIAN(Data!AF$4:AF$195),2,IF(Data!AF195&lt;=QUARTILE(Data!AF$4:AF$195,3),3,4)))</f>
        <v>2</v>
      </c>
      <c r="AG195" s="29">
        <f>IF(Data!AG195&lt;=QUARTILE(Data!AG$4:AG$195,1),1,IF(Data!AG195&lt;=MEDIAN(Data!AG$4:AG$195),2,IF(Data!AG195&lt;=QUARTILE(Data!AG$4:AG$195,3),3,4)))</f>
        <v>2</v>
      </c>
      <c r="AH195" s="23">
        <f>IF(Data!AH195&lt;=QUARTILE(Data!AH$4:AH$195,1),1,IF(Data!AH195&lt;=MEDIAN(Data!AH$4:AH$195),2,IF(Data!AH195&lt;=QUARTILE(Data!AH$4:AH$195,3),3,4)))</f>
        <v>1</v>
      </c>
      <c r="AI195" s="26">
        <f>IF(Data!AI195&lt;=QUARTILE(Data!AI$4:AI$195,1),1,IF(Data!AI195&lt;=MEDIAN(Data!AI$4:AI$195),2,IF(Data!AI195&lt;=QUARTILE(Data!AI$4:AI$195,3),3,4)))</f>
        <v>4</v>
      </c>
      <c r="AJ195" s="23">
        <f>IF(Data!AJ195&lt;=QUARTILE(Data!AJ$4:AJ$195,1),1,IF(Data!AJ195&lt;=MEDIAN(Data!AJ$4:AJ$195),2,IF(Data!AJ195&lt;=QUARTILE(Data!AJ$4:AJ$195,3),3,4)))</f>
        <v>4</v>
      </c>
      <c r="AK195" s="26">
        <f>IF(Data!AK195&lt;=QUARTILE(Data!AK$4:AK$195,1),1,IF(Data!AK195&lt;=MEDIAN(Data!AK$4:AK$195),2,IF(Data!AK195&lt;=QUARTILE(Data!AK$4:AK$195,3),3,4)))</f>
        <v>1</v>
      </c>
      <c r="AL195" s="29">
        <f>IF(Data!AL195&lt;=QUARTILE(Data!AL$4:AL$195,1),1,IF(Data!AL195&lt;=MEDIAN(Data!AL$4:AL$195),2,IF(Data!AL195&lt;=QUARTILE(Data!AL$4:AL$195,3),3,4)))</f>
        <v>1</v>
      </c>
      <c r="AM195" s="29">
        <f>IF(Data!AM195&lt;=QUARTILE(Data!AM$4:AM$195,1),1,IF(Data!AM195&lt;=MEDIAN(Data!AM$4:AM$195),2,IF(Data!AM195&lt;=QUARTILE(Data!AM$4:AM$195,3),3,4)))</f>
        <v>1</v>
      </c>
      <c r="AN195" s="23">
        <f>IF(Data!AN195&lt;=QUARTILE(Data!AN$4:AN$195,1),1,IF(Data!AN195&lt;=MEDIAN(Data!AN$4:AN$195),2,IF(Data!AN195&lt;=QUARTILE(Data!AN$4:AN$195,3),3,4)))</f>
        <v>1</v>
      </c>
      <c r="AO195" s="29">
        <f>IF(Data!AO195&lt;=QUARTILE(Data!AO$4:AO$195,1),1,IF(Data!AO195&lt;=MEDIAN(Data!AO$4:AO$195),2,IF(Data!AO195&lt;=QUARTILE(Data!AO$4:AO$195,3),3,4)))</f>
        <v>2</v>
      </c>
      <c r="AP195" s="29">
        <f>IF(Data!AP195&lt;=QUARTILE(Data!AP$4:AP$195,1),1,IF(Data!AP195&lt;=MEDIAN(Data!AP$4:AP$195),2,IF(Data!AP195&lt;=QUARTILE(Data!AP$4:AP$195,3),3,4)))</f>
        <v>2</v>
      </c>
      <c r="AQ195" s="29">
        <f>IF(Data!AQ195&lt;=QUARTILE(Data!AQ$4:AQ$195,1),1,IF(Data!AQ195&lt;=MEDIAN(Data!AQ$4:AQ$195),2,IF(Data!AQ195&lt;=QUARTILE(Data!AQ$4:AQ$195,3),3,4)))</f>
        <v>1</v>
      </c>
      <c r="AR195" s="29">
        <f>IF(Data!AR195&lt;=QUARTILE(Data!AR$4:AR$195,1),1,IF(Data!AR195&lt;=MEDIAN(Data!AR$4:AR$195),2,IF(Data!AR195&lt;=QUARTILE(Data!AR$4:AR$195,3),3,4)))</f>
        <v>1</v>
      </c>
      <c r="AS195" s="29">
        <f>IF(Data!AS195&lt;=QUARTILE(Data!AS$4:AS$195,1),1,IF(Data!AS195&lt;=MEDIAN(Data!AS$4:AS$195),2,IF(Data!AS195&lt;=QUARTILE(Data!AS$4:AS$195,3),3,4)))</f>
        <v>1</v>
      </c>
      <c r="AT195" s="29">
        <f>IF(Data!AT195&lt;=QUARTILE(Data!AT$4:AT$195,1),1,IF(Data!AT195&lt;=MEDIAN(Data!AT$4:AT$195),2,IF(Data!AT195&lt;=QUARTILE(Data!AT$4:AT$195,3),3,4)))</f>
        <v>3</v>
      </c>
      <c r="AU195" s="23">
        <f>IF(Data!AU195&lt;=QUARTILE(Data!AU$4:AU$195,1),1,IF(Data!AU195&lt;=MEDIAN(Data!AU$4:AU$195),2,IF(Data!AU195&lt;=QUARTILE(Data!AU$4:AU$195,3),3,4)))</f>
        <v>3</v>
      </c>
      <c r="AV195" s="26">
        <f>IF(Data!AV195&lt;=QUARTILE(Data!AV$4:AV$195,1),1,IF(Data!AV195&lt;=MEDIAN(Data!AV$4:AV$195),2,IF(Data!AV195&lt;=QUARTILE(Data!AV$4:AV$195,3),3,4)))</f>
        <v>2</v>
      </c>
      <c r="AW195" s="29">
        <f>IF(Data!AW195&lt;=QUARTILE(Data!AW$4:AW$195,1),1,IF(Data!AW195&lt;=MEDIAN(Data!AW$4:AW$195),2,IF(Data!AW195&lt;=QUARTILE(Data!AW$4:AW$195,3),3,4)))</f>
        <v>1</v>
      </c>
      <c r="AX195" s="29">
        <f>IF(Data!AX195&lt;=QUARTILE(Data!AX$4:AX$195,1),1,IF(Data!AX195&lt;=MEDIAN(Data!AX$4:AX$195),2,IF(Data!AX195&lt;=QUARTILE(Data!AX$4:AX$195,3),3,4)))</f>
        <v>1</v>
      </c>
      <c r="AY195" s="23">
        <f>IF(Data!AY195&lt;=QUARTILE(Data!AY$4:AY$195,1),1,IF(Data!AY195&lt;=MEDIAN(Data!AY$4:AY$195),2,IF(Data!AY195&lt;=QUARTILE(Data!AY$4:AY$195,3),3,4)))</f>
        <v>1</v>
      </c>
      <c r="AZ195" s="26">
        <f>IF(Data!AZ195&lt;=QUARTILE(Data!AZ$4:AZ$195,1),1,IF(Data!AZ195&lt;=MEDIAN(Data!AZ$4:AZ$195),2,IF(Data!AZ195&lt;=QUARTILE(Data!AZ$4:AZ$195,3),3,4)))</f>
        <v>3</v>
      </c>
      <c r="BA195" s="23">
        <f>IF(Data!BA195&lt;=QUARTILE(Data!BA$4:BA$195,1),1,IF(Data!BA195&lt;=MEDIAN(Data!BA$4:BA$195),2,IF(Data!BA195&lt;=QUARTILE(Data!BA$4:BA$195,3),3,4)))</f>
        <v>1</v>
      </c>
    </row>
  </sheetData>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9"/>
  <sheetViews>
    <sheetView workbookViewId="0"/>
  </sheetViews>
  <sheetFormatPr defaultRowHeight="15" x14ac:dyDescent="0.25"/>
  <cols>
    <col min="1" max="1" width="20.85546875" bestFit="1" customWidth="1"/>
    <col min="2" max="3" width="14.85546875" bestFit="1" customWidth="1"/>
    <col min="4" max="4" width="11.28515625" bestFit="1" customWidth="1"/>
  </cols>
  <sheetData>
    <row r="3" spans="1:4" x14ac:dyDescent="0.25">
      <c r="A3" s="64" t="s">
        <v>448</v>
      </c>
      <c r="B3" s="64" t="s">
        <v>95</v>
      </c>
    </row>
    <row r="4" spans="1:4" x14ac:dyDescent="0.25">
      <c r="A4" s="64" t="s">
        <v>47</v>
      </c>
      <c r="B4" t="s">
        <v>96</v>
      </c>
      <c r="C4" t="s">
        <v>97</v>
      </c>
      <c r="D4" t="s">
        <v>449</v>
      </c>
    </row>
    <row r="5" spans="1:4" x14ac:dyDescent="0.25">
      <c r="A5">
        <v>1</v>
      </c>
      <c r="B5" s="65">
        <v>0.8125</v>
      </c>
      <c r="C5" s="65">
        <v>0.1875</v>
      </c>
      <c r="D5" s="65">
        <v>1</v>
      </c>
    </row>
    <row r="6" spans="1:4" x14ac:dyDescent="0.25">
      <c r="A6">
        <v>2</v>
      </c>
      <c r="B6" s="65">
        <v>0.61224489795918369</v>
      </c>
      <c r="C6" s="65">
        <v>0.38775510204081631</v>
      </c>
      <c r="D6" s="65">
        <v>1</v>
      </c>
    </row>
    <row r="7" spans="1:4" x14ac:dyDescent="0.25">
      <c r="A7">
        <v>3</v>
      </c>
      <c r="B7" s="65">
        <v>0.72340425531914898</v>
      </c>
      <c r="C7" s="65">
        <v>0.27659574468085107</v>
      </c>
      <c r="D7" s="65">
        <v>1</v>
      </c>
    </row>
    <row r="8" spans="1:4" x14ac:dyDescent="0.25">
      <c r="A8">
        <v>4</v>
      </c>
      <c r="B8" s="65">
        <v>0.35416666666666669</v>
      </c>
      <c r="C8" s="65">
        <v>0.64583333333333337</v>
      </c>
      <c r="D8" s="65">
        <v>1</v>
      </c>
    </row>
    <row r="9" spans="1:4" x14ac:dyDescent="0.25">
      <c r="A9" t="s">
        <v>449</v>
      </c>
      <c r="B9" s="65">
        <v>0.625</v>
      </c>
      <c r="C9" s="65">
        <v>0.375</v>
      </c>
      <c r="D9" s="65">
        <v>1</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109</vt:i4>
      </vt:variant>
    </vt:vector>
  </HeadingPairs>
  <TitlesOfParts>
    <vt:vector size="115" baseType="lpstr">
      <vt:lpstr>Source</vt:lpstr>
      <vt:lpstr>Data</vt:lpstr>
      <vt:lpstr>_STDS_DG2A60D2EA</vt:lpstr>
      <vt:lpstr>Correlations</vt:lpstr>
      <vt:lpstr>Data with Quartiles</vt:lpstr>
      <vt:lpstr>Pivot Table</vt:lpstr>
      <vt:lpstr>Data!_2009</vt:lpstr>
      <vt:lpstr>'Data with Quartiles'!_2009</vt:lpstr>
      <vt:lpstr>'Data with Quartiles'!ST_1stDowns</vt:lpstr>
      <vt:lpstr>ST_1stDowns</vt:lpstr>
      <vt:lpstr>'Data with Quartiles'!ST_1stDownsAllowed</vt:lpstr>
      <vt:lpstr>ST_1stDownsAllowed</vt:lpstr>
      <vt:lpstr>'Data with Quartiles'!ST_1stDownsPassing</vt:lpstr>
      <vt:lpstr>ST_1stDownsPassing</vt:lpstr>
      <vt:lpstr>'Data with Quartiles'!ST_1stDownsPassingAllowed</vt:lpstr>
      <vt:lpstr>ST_1stDownsPassingAllowed</vt:lpstr>
      <vt:lpstr>'Data with Quartiles'!ST_1stDownsRushing</vt:lpstr>
      <vt:lpstr>ST_1stDownsRushing</vt:lpstr>
      <vt:lpstr>'Data with Quartiles'!ST_1stDownsRushingAllowed</vt:lpstr>
      <vt:lpstr>ST_1stDownsRushingAllowed</vt:lpstr>
      <vt:lpstr>'Data with Quartiles'!ST_Completions</vt:lpstr>
      <vt:lpstr>ST_Completions</vt:lpstr>
      <vt:lpstr>'Data with Quartiles'!ST_CompletionsAllowed</vt:lpstr>
      <vt:lpstr>ST_CompletionsAllowed</vt:lpstr>
      <vt:lpstr>'Data with Quartiles'!ST_DSRS</vt:lpstr>
      <vt:lpstr>ST_DSRS</vt:lpstr>
      <vt:lpstr>'Data with Quartiles'!ST_FGA039</vt:lpstr>
      <vt:lpstr>ST_FGA039</vt:lpstr>
      <vt:lpstr>'Data with Quartiles'!ST_FGA40</vt:lpstr>
      <vt:lpstr>ST_FGA40</vt:lpstr>
      <vt:lpstr>'Data with Quartiles'!ST_FGM039</vt:lpstr>
      <vt:lpstr>ST_FGM039</vt:lpstr>
      <vt:lpstr>'Data with Quartiles'!ST_FGM40</vt:lpstr>
      <vt:lpstr>ST_FGM40</vt:lpstr>
      <vt:lpstr>'Data with Quartiles'!ST_FumblesLost</vt:lpstr>
      <vt:lpstr>ST_FumblesLost</vt:lpstr>
      <vt:lpstr>'Data with Quartiles'!ST_FumblesRecovered</vt:lpstr>
      <vt:lpstr>ST_FumblesRecovered</vt:lpstr>
      <vt:lpstr>'Data with Quartiles'!ST_InterceptionsThrown</vt:lpstr>
      <vt:lpstr>ST_InterceptionsThrown</vt:lpstr>
      <vt:lpstr>'Data with Quartiles'!ST_KickReturns</vt:lpstr>
      <vt:lpstr>ST_KickReturns</vt:lpstr>
      <vt:lpstr>'Data with Quartiles'!ST_Losses</vt:lpstr>
      <vt:lpstr>ST_Losses</vt:lpstr>
      <vt:lpstr>'Data with Quartiles'!ST_OSRS</vt:lpstr>
      <vt:lpstr>ST_OSRS</vt:lpstr>
      <vt:lpstr>'Data with Quartiles'!ST_PassAttempts</vt:lpstr>
      <vt:lpstr>ST_PassAttempts</vt:lpstr>
      <vt:lpstr>'Data with Quartiles'!ST_PassesIntercepted</vt:lpstr>
      <vt:lpstr>ST_PassesIntercepted</vt:lpstr>
      <vt:lpstr>'Data with Quartiles'!ST_PassingAttemptsbyOpponents</vt:lpstr>
      <vt:lpstr>ST_PassingAttemptsbyOpponents</vt:lpstr>
      <vt:lpstr>'Data with Quartiles'!ST_PassingTDs</vt:lpstr>
      <vt:lpstr>ST_PassingTDs</vt:lpstr>
      <vt:lpstr>'Data with Quartiles'!ST_PassingTDsAllowed</vt:lpstr>
      <vt:lpstr>ST_PassingTDsAllowed</vt:lpstr>
      <vt:lpstr>'Data with Quartiles'!ST_PassingYards</vt:lpstr>
      <vt:lpstr>ST_PassingYards</vt:lpstr>
      <vt:lpstr>'Data with Quartiles'!ST_PassingYardsAllowed</vt:lpstr>
      <vt:lpstr>ST_PassingYardsAllowed</vt:lpstr>
      <vt:lpstr>'Data with Quartiles'!ST_PlayoffTeam</vt:lpstr>
      <vt:lpstr>ST_PlayoffTeam</vt:lpstr>
      <vt:lpstr>'Data with Quartiles'!ST_Plays</vt:lpstr>
      <vt:lpstr>ST_Plays</vt:lpstr>
      <vt:lpstr>'Data with Quartiles'!ST_PlaysbyOpponent</vt:lpstr>
      <vt:lpstr>ST_PlaysbyOpponent</vt:lpstr>
      <vt:lpstr>'Data with Quartiles'!ST_PointsAllowed</vt:lpstr>
      <vt:lpstr>ST_PointsAllowed</vt:lpstr>
      <vt:lpstr>'Data with Quartiles'!ST_PointsScored</vt:lpstr>
      <vt:lpstr>ST_PointsScored</vt:lpstr>
      <vt:lpstr>'Data with Quartiles'!ST_PuntReturns</vt:lpstr>
      <vt:lpstr>ST_PuntReturns</vt:lpstr>
      <vt:lpstr>'Data with Quartiles'!ST_Punts</vt:lpstr>
      <vt:lpstr>ST_Punts</vt:lpstr>
      <vt:lpstr>'Data with Quartiles'!ST_PuntYards</vt:lpstr>
      <vt:lpstr>ST_PuntYards</vt:lpstr>
      <vt:lpstr>'Data with Quartiles'!ST_QBRating</vt:lpstr>
      <vt:lpstr>ST_QBRating</vt:lpstr>
      <vt:lpstr>'Data with Quartiles'!ST_RushingAttempsbyOpponents</vt:lpstr>
      <vt:lpstr>ST_RushingAttempsbyOpponents</vt:lpstr>
      <vt:lpstr>'Data with Quartiles'!ST_RushingAttempts</vt:lpstr>
      <vt:lpstr>ST_RushingAttempts</vt:lpstr>
      <vt:lpstr>'Data with Quartiles'!ST_RushingTDs</vt:lpstr>
      <vt:lpstr>ST_RushingTDs</vt:lpstr>
      <vt:lpstr>'Data with Quartiles'!ST_RushingTDsAllowed</vt:lpstr>
      <vt:lpstr>ST_RushingTDsAllowed</vt:lpstr>
      <vt:lpstr>'Data with Quartiles'!ST_RushingYards</vt:lpstr>
      <vt:lpstr>ST_RushingYards</vt:lpstr>
      <vt:lpstr>'Data with Quartiles'!ST_RushingYardsAllowed</vt:lpstr>
      <vt:lpstr>ST_RushingYardsAllowed</vt:lpstr>
      <vt:lpstr>'Data with Quartiles'!ST_SacksAgainst</vt:lpstr>
      <vt:lpstr>ST_SacksAgainst</vt:lpstr>
      <vt:lpstr>'Data with Quartiles'!ST_SacksCaused</vt:lpstr>
      <vt:lpstr>ST_SacksCaused</vt:lpstr>
      <vt:lpstr>'Data with Quartiles'!ST_SackyardsAgainst</vt:lpstr>
      <vt:lpstr>ST_SackyardsAgainst</vt:lpstr>
      <vt:lpstr>'Data with Quartiles'!ST_SackYardsCaused</vt:lpstr>
      <vt:lpstr>ST_SackYardsCaused</vt:lpstr>
      <vt:lpstr>'Data with Quartiles'!ST_SRS</vt:lpstr>
      <vt:lpstr>ST_SRS</vt:lpstr>
      <vt:lpstr>'Data with Quartiles'!ST_Team</vt:lpstr>
      <vt:lpstr>ST_Team</vt:lpstr>
      <vt:lpstr>'Data with Quartiles'!ST_Wins</vt:lpstr>
      <vt:lpstr>ST_Wins</vt:lpstr>
      <vt:lpstr>'Data with Quartiles'!ST_Yards</vt:lpstr>
      <vt:lpstr>ST_Yards</vt:lpstr>
      <vt:lpstr>'Data with Quartiles'!ST_YardsAllowed</vt:lpstr>
      <vt:lpstr>ST_YardsAllowed</vt:lpstr>
      <vt:lpstr>'Data with Quartiles'!ST_YardsKickReturns</vt:lpstr>
      <vt:lpstr>ST_YardsKickReturns</vt:lpstr>
      <vt:lpstr>'Data with Quartiles'!ST_YardsPuntReturns</vt:lpstr>
      <vt:lpstr>ST_YardsPuntReturns</vt:lpstr>
      <vt:lpstr>'Data with Quartiles'!ST_Year</vt:lpstr>
      <vt:lpstr>ST_Year</vt:lpstr>
      <vt:lpstr>Correlations!StatToolsHeader</vt:lpstr>
    </vt:vector>
  </TitlesOfParts>
  <Company>Kelley School of Business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2010-02-16T20:38:31Z</dcterms:created>
  <dcterms:modified xsi:type="dcterms:W3CDTF">2012-10-12T18:32:00Z</dcterms:modified>
</cp:coreProperties>
</file>